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PLANILHA DE COMPOSIÇÃO DE CUSTO" sheetId="1" state="visible" r:id="rId2"/>
    <sheet name="5. Depreciação" sheetId="2" state="visible" r:id="rId3"/>
    <sheet name="6.Remuneração de capital" sheetId="3" state="visible" r:id="rId4"/>
  </sheets>
  <definedNames>
    <definedName name="_xlnm.Print_Area" localSheetId="0">'PLANILHA DE COMPOSIÇÃO DE CUSTO'!$A$1:$F$400</definedName>
    <definedName name="Print_Titles" localSheetId="0" hidden="0">'PLANILHA DE COMPOSIÇÃO DE CUSTO'!$1:$3</definedName>
    <definedName name="AbaDeprec">'5. Depreciação'!$A$1</definedName>
    <definedName name="AbaRemun">'6.Remuneração de capital'!$A$1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tc={001B0052-003E-4840-ADED-002D008E00CF}</author>
    <author>tc={00680042-004E-400C-8401-00C3008B0024}</author>
    <author>tc={004900A8-0039-45AC-906D-002100DD0063}</author>
    <author>tc={00C200AC-00C5-4A07-8E69-00B70088000B}</author>
    <author>tc={005B004D-001E-4E39-8E68-008700B6008E}</author>
    <author>tc={00A300D9-0055-4814-A4A6-00AA003500D2}</author>
    <author>tc={00A80078-00DC-469A-A7A1-00C900F600B1}</author>
    <author>tc={008100A2-000C-4683-BE9B-00A3008F007A}</author>
    <author>tc={00C500A4-009F-46BD-801D-008E00BA006E}</author>
    <author>tc={00110020-0036-4CE7-A071-00EE00D40044}</author>
    <author>tc={00860089-00D5-49D6-B024-00C0005F00A5}</author>
    <author>tc={004800AB-0062-4E10-AA89-0012008000B0}</author>
    <author>tc={00000021-0029-4E53-9439-008700820078}</author>
    <author>tc={005B00DC-005B-480F-A98B-00D800510081}</author>
    <author>tc={00E40091-00FE-4D64-826C-0064009400C5}</author>
    <author>tc={008700E7-004F-4333-BD1F-007100F7003A}</author>
    <author>tc={002300E6-00BE-4CBE-A9E2-00B600DF00DF}</author>
    <author>tc={00E700FF-00FB-4BF6-A38A-006A00B800BB}</author>
    <author>tc={00810077-001A-4FFF-8B3A-0057001400C6}</author>
    <author>tc={00A800E7-0012-49B0-96D2-005E00290070}</author>
    <author>tc={009300BC-0040-4017-AF7B-00F00051001B}</author>
    <author>tc={007F00B7-00E1-44F3-A01E-0096008A009C}</author>
    <author>tc={002C006E-009B-4938-93E9-006A00F400BD}</author>
    <author>tc={006000C9-00F5-418E-A4D1-009C005500BE}</author>
    <author>tc={00640087-00DA-4AD2-BA0A-00EE009800CF}</author>
    <author>tc={008200B6-001B-4E94-B690-0038004A0098}</author>
    <author>tc={008D003E-00EA-4797-B7A1-00E5001C00B1}</author>
    <author>tc={00590057-005F-4654-A340-00740063002A}</author>
    <author>tc={003E000E-00F6-4578-86B5-00F8009B0005}</author>
    <author>tc={009900C4-000F-4E61-8507-009800E000B7}</author>
    <author>tc={004B00AF-006D-4DA5-9589-0010007300AB}</author>
    <author>tc={00380057-00B8-478B-924A-002E003C00BF}</author>
    <author>tc={00CA001A-00FB-4C90-96A4-0056004200C4}</author>
    <author>tc={006C00A9-0026-4DE3-ADAF-00FE00340002}</author>
    <author>tc={000F0088-008D-41E9-90C9-003200E300B2}</author>
    <author>tc={00A80092-0067-48BA-B618-001200C60082}</author>
    <author>tc={00AF0073-0051-40A2-AF00-004F00750015}</author>
    <author>tc={00A2002C-00C8-4AA1-96AD-00B2002E0080}</author>
    <author>tc={00800093-00B2-4EEB-908C-0095005400CE}</author>
    <author>tc={004F00D0-00D6-4169-96D0-006700EA007D}</author>
    <author>tc={009600E1-0060-4636-98F0-002C001C00FE}</author>
    <author>tc={00E30017-005E-4623-AA28-00FB00B70039}</author>
    <author>tc={00470096-0045-4334-BFF6-007F00AC0007}</author>
    <author>tc={00D500D9-006C-4D21-809A-0077009100B7}</author>
    <author>tc={0027002C-008F-45D5-A19D-0036001F008A}</author>
    <author>tc={00D90030-004E-45F2-964A-002300B50036}</author>
    <author>tc={000B005A-00AC-414B-8E2F-003900D40066}</author>
    <author>tc={00E30074-0091-4B68-839F-008800A10038}</author>
    <author>tc={0009001B-0048-4C06-9A2F-00B2006600BE}</author>
    <author>tc={002A0040-0002-4395-8D3C-00700012007E}</author>
    <author>tc={007500A7-0051-4FB8-AE62-000B00B400F2}</author>
    <author>tc={0021006B-00AD-4FC9-B407-00E300040009}</author>
    <author>tc={00E50077-00F3-4952-97CE-00EB00DA00A4}</author>
    <author>tc={007E000E-00E0-4C94-8524-002B00B40019}</author>
    <author>tc={002D0045-009A-4904-97B7-003C003400B4}</author>
    <author>tc={00360084-0028-41C9-A9F8-00D000A00031}</author>
    <author>tc={00620008-00F6-4240-B3A1-002800610043}</author>
    <author>tc={007E0064-0052-4278-B82A-009B00850010}</author>
    <author>tc={00DA00FB-00F1-4BB6-8553-0016003D00B2}</author>
    <author>tc={00CB0088-006B-4CF2-819E-0096005F00B8}</author>
    <author>tc={00290096-00BA-4F58-8AD1-00B000E400A3}</author>
    <author>tc={00D10008-00BF-4AC8-A476-000A006B006A}</author>
    <author>tc={00240092-00BD-4A56-B660-00DF00B500F6}</author>
    <author>tc={0087003E-00DC-40CB-9B1C-007F002700A7}</author>
    <author>tc={00E100E9-00A7-4D22-BE85-00CC004C00CD}</author>
    <author>tc={002000C3-008F-4F0C-8C32-00BE0050002F}</author>
    <author>tc={00B500D3-0066-4B6D-AE04-00E000860088}</author>
    <author>tc={00130070-00E4-40DC-9A9E-00D100E20005}</author>
    <author>tc={003300C8-0026-4C27-B3E5-00C4007F00C8}</author>
    <author>tc={0013005D-0029-4CCD-B584-0000001B0068}</author>
    <author>tc={00320083-0054-4982-B36B-00610096006E}</author>
    <author>tc={001600E4-00EC-44AE-A84B-00D5007700DA}</author>
    <author>tc={00C700FD-009D-40EE-941B-00E00067009C}</author>
    <author>tc={0051009E-00F7-4591-AA94-001800B4001C}</author>
    <author>tc={0046006D-00EE-431D-91B8-00AA00CF00B2}</author>
    <author>tc={5BB0D8D3-AA89-216F-1A77-629CE0804233}</author>
    <author>tc={B0837C2B-7999-3291-DB03-4594482E9CCA}</author>
    <author>tc={A56B8E54-02A5-A27F-35F8-3901A74CBCC4}</author>
    <author>tc={DBEAEAEA-6221-561C-5810-860A91513704}</author>
    <author>tc={3038307A-E28A-E639-756F-D3EAB980354E}</author>
    <author>tc={E92CD941-00EC-CCF6-399B-92D8CC1D91BB}</author>
    <author>tc={1A96DAA2-E3DE-256B-667A-9BBB78E782B0}</author>
    <author>tc={F4CFDAD0-0242-70FC-F970-C3FC49180CD7}</author>
    <author>tc={98431B0B-6051-53F6-D984-1AC76CA8930C}</author>
    <author>tc={916C5DB7-E23D-6D6D-4178-3287D9E5EF6B}</author>
    <author>tc={E811216E-7880-8195-D234-DE23D0A04665}</author>
    <author>tc={A52E46BF-465D-5343-7664-8249DB13BD9E}</author>
    <author>tc={7BF2483B-88AE-619D-7054-101CC8323CC9}</author>
    <author>tc={4B9B79FA-C51D-B7C0-2D36-8D864B4A851D}</author>
    <author>tc={BC3E33D9-94F9-636A-480B-F4B4EBB89FAB}</author>
    <author>tc={443D93D7-0CBC-4D64-3C95-91798535AF79}</author>
    <author>tc={2C5C94BA-AAA0-3022-FD43-FC9CA8993232}</author>
    <author>tc={4B8F5E4D-7F04-2EF8-55D6-099894E5547C}</author>
    <author>tc={CE3F2555-CBBE-51F0-80C3-C60DEC2C197E}</author>
    <author>tc={B4613377-8098-71C4-F7AE-498415898C87}</author>
    <author>tc={6F20F98B-BDCA-61CC-BC18-49D74445963A}</author>
    <author>tc={7BE46C44-977D-D983-9EA3-5550C0EF9AB7}</author>
    <author>tc={E9248CA5-6CEB-D549-7E09-04F6E55ABB41}</author>
    <author>tc={244BB56B-E9FB-E621-E413-B3D1DBE48DCF}</author>
    <author>tc={674A77DF-5C43-A999-6F0A-EBF203EDC7BE}</author>
    <author>tc={64F4A0D6-8E59-28A1-CAD5-94E64F0E7D69}</author>
    <author>tc={E49A98E3-E770-FC8A-DFC2-05E584A6E7C0}</author>
    <author>tc={F258FCF9-0498-3CF4-344A-5E201E82CF56}</author>
    <author>tc={1D80ACE8-073B-DBFA-5DDC-F600A1A7420C}</author>
    <author>tc={00390063-005A-47C8-B04A-00D300CE002E}</author>
    <author>tc={0044004E-0075-43FF-8C4B-006800EB0052}</author>
    <author>tc={0083004E-0060-4EE3-B98B-004E00030053}</author>
    <author>tc={00970058-009E-4AC6-9817-00020017005C}</author>
    <author>tc={002400B5-0097-49B2-A2C3-001300CF000A}</author>
    <author>tc={00530084-0017-41E3-8DA3-00A300F200F1}</author>
    <author>tc={00500034-00CC-4248-B492-00EA00EF0015}</author>
    <author>tc={00CD000B-00CC-4706-99B0-00B300580072}</author>
    <author>tc={007E00A2-000C-4DF5-B3DF-00DC00620075}</author>
    <author>tc={009B0067-00E9-4B21-8D45-00DA00660081}</author>
    <author>tc={00610019-00A3-4D4A-B1CD-00330062006B}</author>
    <author>tc={0091004F-00DE-4264-ADA8-0003007900FE}</author>
    <author>tc={00EF00F2-0020-4C18-9BC4-0078006F0078}</author>
    <author>tc={00C500BE-0055-4441-845C-0055002E000B}</author>
    <author>tc={005D00C5-004E-4170-8B68-00720044005C}</author>
    <author>tc={00ED0000-0033-4442-9F8B-00F0007B00F1}</author>
    <author>tc={008B00EC-003D-4B69-AF28-003B00620007}</author>
    <author>tc={0021006C-003A-4FA3-969E-002D00DE001A}</author>
    <author>tc={00780053-00C2-45CC-B010-005C00320095}</author>
    <author>tc={006200AA-0051-449B-BD59-00A200FB0096}</author>
    <author>tc={00B900DA-00C4-481F-A492-004400970063}</author>
    <author>tc={005D00EC-0098-4C49-9189-0037005A002A}</author>
    <author>tc={00B90092-00BB-4F49-905A-00F200F00031}</author>
    <author>tc={00BE0051-0082-4485-BB64-0082002C00B2}</author>
    <author>tc={00620002-0025-4913-89C8-00040082005B}</author>
  </authors>
  <commentList>
    <comment ref="C102" authorId="0" xr:uid="{001B0052-003E-4840-ADED-002D008E00CF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02" authorId="1" xr:uid="{00680042-004E-400C-8401-00C3008B0024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C103" authorId="2" xr:uid="{004900A8-0039-45AC-906D-002100DD0063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03" authorId="3" xr:uid="{00C200AC-00C5-4A07-8E69-00B70088000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C104" authorId="4" xr:uid="{005B004D-001E-4E39-8E68-008700B6008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04" authorId="5" xr:uid="{00A300D9-0055-4814-A4A6-00AA003500D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C105" authorId="6" xr:uid="{00A80078-00DC-469A-A7A1-00C900F600B1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05" authorId="7" xr:uid="{008100A2-000C-4683-BE9B-00A3008F007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C106" authorId="8" xr:uid="{00C500A4-009F-46BD-801D-008E00BA006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06" authorId="9" xr:uid="{00110020-0036-4CE7-A071-00EE00D40044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C107" authorId="10" xr:uid="{00860089-00D5-49D6-B024-00C0005F00A5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07" authorId="11" xr:uid="{004800AB-0062-4E10-AA89-0012008000B0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C108" authorId="12" xr:uid="{00000021-0029-4E53-9439-008700820078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08" authorId="13" xr:uid="{005B00DC-005B-480F-A98B-00D800510081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C109" authorId="14" xr:uid="{00E40091-00FE-4D64-826C-0064009400C5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09" authorId="15" xr:uid="{008700E7-004F-4333-BD1F-007100F7003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C110" authorId="16" xr:uid="{002300E6-00BE-4CBE-A9E2-00B600DF00DF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10" authorId="17" xr:uid="{00E700FF-00FB-4BF6-A38A-006A00B800B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C115" authorId="18" xr:uid="{00810077-001A-4FFF-8B3A-0057001400C6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estimada em meses, para cada EPI
</t>
        </r>
      </text>
    </comment>
    <comment ref="D115" authorId="19" xr:uid="{00A800E7-0012-49B0-96D2-005E00290070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EPI
</t>
        </r>
      </text>
    </comment>
    <comment ref="D116" authorId="20" xr:uid="{009300BC-0040-4017-AF7B-00F00051001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mensal de higienização de uniforme para 1 funcionário
</t>
        </r>
      </text>
    </comment>
    <comment ref="D129" authorId="21" xr:uid="{007F00B7-00E1-44F3-A01E-0096008A009C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chassis do caminhão de coleta
</t>
        </r>
      </text>
    </comment>
    <comment ref="C130" authorId="22" xr:uid="{002C006E-009B-4938-93E9-006A00F400BD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vida útil estimada para o caminhão, em anos
</t>
        </r>
      </text>
    </comment>
    <comment ref="C131" authorId="23" xr:uid="{006000C9-00F5-418E-A4D1-009C005500B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Na elaboração do orçamento-base da licitação, informar 0 (zero). Na proposta da licitante, informar a idade do veículo proposto.
</t>
        </r>
      </text>
    </comment>
    <comment ref="C132" authorId="24" xr:uid="{00640087-00DA-4AD2-BA0A-00EE009800CF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da depreciação do caminhão, adotando o valor sugerido pelo TCE ou outro valor estimado 
</t>
        </r>
      </text>
    </comment>
    <comment ref="D134" authorId="25" xr:uid="{008200B6-001B-4E94-B690-0038004A0098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equipamento compactador
</t>
        </r>
      </text>
    </comment>
    <comment ref="C135" authorId="26" xr:uid="{008D003E-00EA-4797-B7A1-00E5001C00B1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vida útil estimada para o compactador, em anos
</t>
        </r>
      </text>
    </comment>
    <comment ref="C136" authorId="27" xr:uid="{00590057-005F-4654-A340-00740063002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Na elaboração do orçamento-base da licitação, informar 0 (zero). Na proposta da licitante, informar a idade do compactador proposto.
</t>
        </r>
      </text>
    </comment>
    <comment ref="C137" authorId="28" xr:uid="{003E000E-00F6-4578-86B5-00F8009B0005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da depreciação do compactador, adotando o valor sugerido pelo TCE ou outro valor estimado 
</t>
        </r>
      </text>
    </comment>
    <comment ref="C140" authorId="29" xr:uid="{009900C4-000F-4E61-8507-009800E000B7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de caminhões compactadores do respectivo modelo
</t>
        </r>
      </text>
    </comment>
    <comment ref="C146" authorId="30" xr:uid="{004B00AF-006D-4DA5-9589-0010007300A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taxa de juros anual para remuneração do capital. Recomenda-se o uso da Taxa SELIC
</t>
        </r>
      </text>
    </comment>
    <comment ref="D162" authorId="31" xr:uid="{00380057-00B8-478B-924A-002E003C00BF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do seguro obrigatório e licenciamento anual de um caminhão
</t>
        </r>
      </text>
    </comment>
    <comment ref="D163" authorId="32" xr:uid="{00CA001A-00FB-4C90-96A4-0056004200C4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do seguro contra terceiros de um caminhão, se houver previsão no Projeto Básico
</t>
        </r>
      </text>
    </comment>
    <comment ref="B169" authorId="33" xr:uid="{006C00A9-0026-4DE3-ADAF-00FE0034000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quilometragem mensal percorrida, de acordo com o projeto básico
</t>
        </r>
      </text>
    </comment>
    <comment ref="C172" authorId="34" xr:uid="{000F0088-008D-41E9-90C9-003200E300B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estimado do veículo em km/l
</t>
        </r>
      </text>
    </comment>
    <comment ref="D172" authorId="35" xr:uid="{00A80092-0067-48BA-B618-001200C6008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combustivel
</t>
        </r>
      </text>
    </comment>
    <comment ref="C174" authorId="36" xr:uid="{00AF0073-0051-40A2-AF00-004F00750015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óleo do motor a cada 1000km
</t>
        </r>
      </text>
    </comment>
    <comment ref="D174" authorId="37" xr:uid="{00A2002C-00C8-4AA1-96AD-00B2002E0080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do óleo do motor
</t>
        </r>
      </text>
    </comment>
    <comment ref="C176" authorId="38" xr:uid="{00800093-00B2-4EEB-908C-0095005400C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óleo da transmissão a cada 1000km
</t>
        </r>
      </text>
    </comment>
    <comment ref="D176" authorId="39" xr:uid="{004F00D0-00D6-4169-96D0-006700EA007D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do óleo da transmissão
</t>
        </r>
      </text>
    </comment>
    <comment ref="C178" authorId="40" xr:uid="{009600E1-0060-4636-98F0-002C001C00F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óleo hidráulico a cada 1000km
</t>
        </r>
      </text>
    </comment>
    <comment ref="D178" authorId="41" xr:uid="{00E30017-005E-4623-AA28-00FB00B70039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do óleo hidráulico
</t>
        </r>
      </text>
    </comment>
    <comment ref="C180" authorId="42" xr:uid="{00470096-0045-4334-BFF6-007F00AC0007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graxa a cada 1000km
</t>
        </r>
      </text>
    </comment>
    <comment ref="D180" authorId="43" xr:uid="{00D500D9-006C-4D21-809A-0077009100B7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da graxa
</t>
        </r>
      </text>
    </comment>
    <comment ref="D187" authorId="44" xr:uid="{0027002C-008F-45D5-A19D-0036001F008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custo de manutenção em R$/km rodado
</t>
        </r>
      </text>
    </comment>
    <comment ref="C192" authorId="45" xr:uid="{00D90030-004E-45F2-964A-002300B50036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de pneus novos de 1 caminhão
</t>
        </r>
      </text>
    </comment>
    <comment ref="D192" authorId="46" xr:uid="{000B005A-00AC-414B-8E2F-003900D40066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de cada pneu
</t>
        </r>
      </text>
    </comment>
    <comment ref="C193" authorId="47" xr:uid="{00E30074-0091-4B68-839F-008800A10038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número de recapagens por pneu
</t>
        </r>
      </text>
    </comment>
    <comment ref="D194" authorId="48" xr:uid="{0009001B-0048-4C06-9A2F-00B2006600B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de cada recapagem
</t>
        </r>
      </text>
    </comment>
    <comment ref="C195" authorId="49" xr:uid="{002A0040-0002-4395-8D3C-00700012007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média dos pneus considerando todas as recapagens, em km
</t>
        </r>
      </text>
    </comment>
    <comment ref="D203" authorId="50" xr:uid="{007500A7-0051-4FB8-AE62-000B00B400F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chassis do caminhão de coleta
</t>
        </r>
      </text>
    </comment>
    <comment ref="C204" authorId="51" xr:uid="{0021006B-00AD-4FC9-B407-00E300040009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vida útil estimada para o caminhão, em anos
</t>
        </r>
      </text>
    </comment>
    <comment ref="C205" authorId="52" xr:uid="{00E50077-00F3-4952-97CE-00EB00DA00A4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Na elaboração do orçamento-base da licitação, informar 0 (zero). Na proposta da licitante, informar a idade do veículo proposto.
</t>
        </r>
      </text>
    </comment>
    <comment ref="C206" authorId="53" xr:uid="{007E000E-00E0-4C94-8524-002B00B40019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da depreciação do caminhão, adotando o valor sugerido pelo TCE ou outro valor estimado 
</t>
        </r>
      </text>
    </comment>
    <comment ref="C209" authorId="54" xr:uid="{002D0045-009A-4904-97B7-003C003400B4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de caminhões compactadores do respectivo modelo
</t>
        </r>
      </text>
    </comment>
    <comment ref="C215" authorId="55" xr:uid="{00360084-0028-41C9-A9F8-00D000A00031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taxa de juros anual para remuneração do capital. Recomenda-se o uso da Taxa SELIC
</t>
        </r>
      </text>
    </comment>
    <comment ref="D226" authorId="56" xr:uid="{00620008-00F6-4240-B3A1-002800610043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do seguro obrigatório e licenciamento anual de um caminhão
</t>
        </r>
      </text>
    </comment>
    <comment ref="D227" authorId="57" xr:uid="{007E0064-0052-4278-B82A-009B00850010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do seguro contra terceiros de um caminhão, se houver previsão no Projeto Básico
</t>
        </r>
      </text>
    </comment>
    <comment ref="B233" authorId="58" xr:uid="{00DA00FB-00F1-4BB6-8553-0016003D00B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quilometragem mensal percorrida, de acordo com o projeto básico
</t>
        </r>
      </text>
    </comment>
    <comment ref="C236" authorId="59" xr:uid="{00CB0088-006B-4CF2-819E-0096005F00B8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estimado do veículo em km/l
</t>
        </r>
      </text>
    </comment>
    <comment ref="D236" authorId="60" xr:uid="{00290096-00BA-4F58-8AD1-00B000E400A3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combustivel
</t>
        </r>
      </text>
    </comment>
    <comment ref="C238" authorId="61" xr:uid="{00D10008-00BF-4AC8-A476-000A006B006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óleo do motor a cada 1000km
</t>
        </r>
      </text>
    </comment>
    <comment ref="D238" authorId="62" xr:uid="{00240092-00BD-4A56-B660-00DF00B500F6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do óleo do motor
</t>
        </r>
      </text>
    </comment>
    <comment ref="C240" authorId="63" xr:uid="{0087003E-00DC-40CB-9B1C-007F002700A7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óleo da transmissão a cada 1000km
</t>
        </r>
      </text>
    </comment>
    <comment ref="D240" authorId="64" xr:uid="{00E100E9-00A7-4D22-BE85-00CC004C00CD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do óleo da transmissão
</t>
        </r>
      </text>
    </comment>
    <comment ref="C242" authorId="65" xr:uid="{002000C3-008F-4F0C-8C32-00BE0050002F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óleo hidráulico a cada 1000km
</t>
        </r>
      </text>
    </comment>
    <comment ref="D242" authorId="66" xr:uid="{00B500D3-0066-4B6D-AE04-00E000860088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do óleo hidráulico
</t>
        </r>
      </text>
    </comment>
    <comment ref="C244" authorId="67" xr:uid="{00130070-00E4-40DC-9A9E-00D100E20005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graxa a cada 1000km
</t>
        </r>
      </text>
    </comment>
    <comment ref="D244" authorId="68" xr:uid="{003300C8-0026-4C27-B3E5-00C4007F00C8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da graxa
</t>
        </r>
      </text>
    </comment>
    <comment ref="D251" authorId="69" xr:uid="{0013005D-0029-4CCD-B584-0000001B0068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custo de manutenção em R$/km rodado
</t>
        </r>
      </text>
    </comment>
    <comment ref="C256" authorId="70" xr:uid="{00320083-0054-4982-B36B-00610096006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de pneus novos de 1 caminhão
</t>
        </r>
      </text>
    </comment>
    <comment ref="D256" authorId="71" xr:uid="{001600E4-00EC-44AE-A84B-00D5007700D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de cada pneu
</t>
        </r>
      </text>
    </comment>
    <comment ref="C257" authorId="72" xr:uid="{00C700FD-009D-40EE-941B-00E00067009C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número de recapagens por pneu
</t>
        </r>
      </text>
    </comment>
    <comment ref="D258" authorId="73" xr:uid="{0051009E-00F7-4591-AA94-001800B4001C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de cada recapagem
</t>
        </r>
      </text>
    </comment>
    <comment ref="C259" authorId="74" xr:uid="{0046006D-00EE-431D-91B8-00AA00CF00B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média dos pneus considerando todas as recapagens, em km
</t>
        </r>
      </text>
    </comment>
    <comment ref="D267" authorId="75" xr:uid="{5BB0D8D3-AA89-216F-1A77-629CE0804233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chassis do caminhão de coleta
</t>
        </r>
      </text>
    </comment>
    <comment ref="C268" authorId="76" xr:uid="{B0837C2B-7999-3291-DB03-4594482E9CC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vida útil estimada para o caminhão, em anos
</t>
        </r>
      </text>
    </comment>
    <comment ref="C269" authorId="77" xr:uid="{A56B8E54-02A5-A27F-35F8-3901A74CBCC4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Na elaboração do orçamento-base da licitação, informar 0 (zero). Na proposta da licitante, informar a idade do veículo proposto.
</t>
        </r>
      </text>
    </comment>
    <comment ref="C270" authorId="78" xr:uid="{DBEAEAEA-6221-561C-5810-860A91513704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da depreciação do caminhão, adotando o valor sugerido pelo TCE ou outro valor estimado 
</t>
        </r>
      </text>
    </comment>
    <comment ref="D272" authorId="79" xr:uid="{3038307A-E28A-E639-756F-D3EAB980354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equipamento compactador
</t>
        </r>
      </text>
    </comment>
    <comment ref="C273" authorId="80" xr:uid="{E92CD941-00EC-CCF6-399B-92D8CC1D91B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vida útil estimada para o compactador, em anos
</t>
        </r>
      </text>
    </comment>
    <comment ref="C274" authorId="81" xr:uid="{1A96DAA2-E3DE-256B-667A-9BBB78E782B0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Na elaboração do orçamento-base da licitação, informar 0 (zero). Na proposta da licitante, informar a idade do compactador proposto.
</t>
        </r>
      </text>
    </comment>
    <comment ref="C275" authorId="82" xr:uid="{F4CFDAD0-0242-70FC-F970-C3FC49180CD7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da depreciação do compactador, adotando o valor sugerido pelo TCE ou outro valor estimado 
</t>
        </r>
      </text>
    </comment>
    <comment ref="C278" authorId="83" xr:uid="{98431B0B-6051-53F6-D984-1AC76CA8930C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de caminhões compactadores do respectivo modelo
</t>
        </r>
      </text>
    </comment>
    <comment ref="C284" authorId="84" xr:uid="{916C5DB7-E23D-6D6D-4178-3287D9E5EF6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taxa de juros anual para remuneração do capital. Recomenda-se o uso da Taxa SELIC
</t>
        </r>
      </text>
    </comment>
    <comment ref="D301" authorId="85" xr:uid="{E811216E-7880-8195-D234-DE23D0A04665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do seguro obrigatório e licenciamento anual de um caminhão
</t>
        </r>
      </text>
    </comment>
    <comment ref="D302" authorId="86" xr:uid="{A52E46BF-465D-5343-7664-8249DB13BD9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do seguro contra terceiros de um caminhão, se houver previsão no Projeto Básico
</t>
        </r>
      </text>
    </comment>
    <comment ref="B308" authorId="87" xr:uid="{7BF2483B-88AE-619D-7054-101CC8323CC9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quilometragem mensal percorrida, de acordo com o projeto básico
</t>
        </r>
      </text>
    </comment>
    <comment ref="C311" authorId="88" xr:uid="{4B9B79FA-C51D-B7C0-2D36-8D864B4A851D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estimado do veículo em km/l
</t>
        </r>
      </text>
    </comment>
    <comment ref="D311" authorId="89" xr:uid="{BC3E33D9-94F9-636A-480B-F4B4EBB89FA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combustivel
</t>
        </r>
      </text>
    </comment>
    <comment ref="C313" authorId="90" xr:uid="{443D93D7-0CBC-4D64-3C95-91798535AF79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óleo do motor a cada 1000km
</t>
        </r>
      </text>
    </comment>
    <comment ref="D313" authorId="91" xr:uid="{2C5C94BA-AAA0-3022-FD43-FC9CA899323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do óleo do motor
</t>
        </r>
      </text>
    </comment>
    <comment ref="C315" authorId="92" xr:uid="{4B8F5E4D-7F04-2EF8-55D6-099894E5547C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óleo da transmissão a cada 1000km
</t>
        </r>
      </text>
    </comment>
    <comment ref="D315" authorId="93" xr:uid="{CE3F2555-CBBE-51F0-80C3-C60DEC2C197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do óleo da transmissão
</t>
        </r>
      </text>
    </comment>
    <comment ref="C317" authorId="94" xr:uid="{B4613377-8098-71C4-F7AE-498415898C87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óleo hidráulico a cada 1000km
</t>
        </r>
      </text>
    </comment>
    <comment ref="D317" authorId="95" xr:uid="{6F20F98B-BDCA-61CC-BC18-49D74445963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do óleo hidráulico
</t>
        </r>
      </text>
    </comment>
    <comment ref="C319" authorId="96" xr:uid="{7BE46C44-977D-D983-9EA3-5550C0EF9AB7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consumo de graxa a cada 1000km
</t>
        </r>
      </text>
    </comment>
    <comment ref="D319" authorId="97" xr:uid="{E9248CA5-6CEB-D549-7E09-04F6E55ABB41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do litro da graxa
</t>
        </r>
      </text>
    </comment>
    <comment ref="D326" authorId="98" xr:uid="{244BB56B-E9FB-E621-E413-B3D1DBE48DCF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custo de manutenção em R$/km rodado
</t>
        </r>
      </text>
    </comment>
    <comment ref="C331" authorId="99" xr:uid="{674A77DF-5C43-A999-6F0A-EBF203EDC7B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de pneus novos de 1 caminhão
</t>
        </r>
      </text>
    </comment>
    <comment ref="D331" authorId="100" xr:uid="{64F4A0D6-8E59-28A1-CAD5-94E64F0E7D69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de cada pneu
</t>
        </r>
      </text>
    </comment>
    <comment ref="C332" authorId="101" xr:uid="{E49A98E3-E770-FC8A-DFC2-05E584A6E7C0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número de recapagens por pneu
</t>
        </r>
      </text>
    </comment>
    <comment ref="D333" authorId="102" xr:uid="{F258FCF9-0498-3CF4-344A-5E201E82CF56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preço unitário de cada recapagem
</t>
        </r>
      </text>
    </comment>
    <comment ref="C334" authorId="103" xr:uid="{1D80ACE8-073B-DBFA-5DDC-F600A1A7420C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durabilidade média dos pneus considerando todas as recapagens, em km
</t>
        </r>
      </text>
    </comment>
    <comment ref="C343" authorId="104" xr:uid="{00390063-005A-47C8-B04A-00D300CE002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estimada por mês. Por exemplo, se a durabilidade estimada é de 6 meses, informar 1/6; se a durabilidade estimada é de 3 meses informar 1/3, etc..
</t>
        </r>
      </text>
    </comment>
    <comment ref="D343" authorId="105" xr:uid="{0044004E-0075-43FF-8C4B-006800EB005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material
</t>
        </r>
      </text>
    </comment>
    <comment ref="C344" authorId="106" xr:uid="{0083004E-0060-4EE3-B98B-004E00030053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estimada por mês. Por exemplo, se a durabilidade estimada é de 6 meses, informar 1/6; se a durabilidade estimada é de 3 meses informar 1/3, etc..
</t>
        </r>
      </text>
    </comment>
    <comment ref="D344" authorId="107" xr:uid="{00970058-009E-4AC6-9817-00020017005C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material
</t>
        </r>
      </text>
    </comment>
    <comment ref="C345" authorId="108" xr:uid="{002400B5-0097-49B2-A2C3-001300CF000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estimada por mês. Por exemplo, se a durabilidade estimada é de 6 meses, informar 1/6; se a durabilidade estimada é de 3 meses informar 1/3, etc..
</t>
        </r>
      </text>
    </comment>
    <comment ref="D345" authorId="109" xr:uid="{00530084-0017-41E3-8DA3-00A300F200F1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material
</t>
        </r>
      </text>
    </comment>
    <comment ref="C365" authorId="110" xr:uid="{00500034-00CC-4248-B492-00EA00EF0015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estimada por mês. Por exemplo, se a durabilidade estimada é de 6 meses, informar 1/6; se a durabilidade estimada é de 3 meses informar 1/3, etc..
</t>
        </r>
      </text>
    </comment>
    <comment ref="D365" authorId="111" xr:uid="{00CD000B-00CC-4706-99B0-00B30058007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material
</t>
        </r>
      </text>
    </comment>
    <comment ref="C366" authorId="112" xr:uid="{007E00A2-000C-4DF5-B3DF-00DC00620075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estimada por mês. Por exemplo, se a durabilidade estimada é de 6 meses, informar 1/6; se a durabilidade estimada é de 3 meses informar 1/3, etc..
</t>
        </r>
      </text>
    </comment>
    <comment ref="D366" authorId="113" xr:uid="{009B0067-00E9-4B21-8D45-00DA00660081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estimado para aquisição de cada material
</t>
        </r>
      </text>
    </comment>
    <comment ref="A371" authorId="114" xr:uid="{00610019-00A3-4D4A-B1CD-00330062006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Especificar somente quando for exigido no Projeto Básico
</t>
        </r>
      </text>
    </comment>
    <comment ref="D374" authorId="115" xr:uid="{0091004F-00DE-4264-ADA8-0003007900FE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total para instalação do equipamento de monitoramento da frota, se houver previsão no Projeto Básico
</t>
        </r>
      </text>
    </comment>
    <comment ref="D376" authorId="116" xr:uid="{00EF00F2-0020-4C18-9BC4-0078006F0078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mensal para manutenção dos equipamentos de monitoramento
</t>
        </r>
      </text>
    </comment>
    <comment ref="C387" authorId="117" xr:uid="{00C500BE-0055-4441-845C-0055002E000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Preencher a aba 4.BDI
</t>
        </r>
      </text>
    </comment>
    <comment ref="B55" authorId="118" xr:uid="{005D00C5-004E-4170-8B68-00720044005C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fator de utilização das equipes de coleta. 
Por exemplo:
Equipes com utilização integral = 100%
Equipes com utilização parcial = n° horas trabalhadas por semana /44 horas
</t>
        </r>
      </text>
    </comment>
    <comment ref="A7" authorId="119" xr:uid="{00ED0000-0033-4442-9F8B-00F0007B00F1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Qualquer custo previsto no edital e não contemplado nesta planilha modelo deverá ser devidamente incluído
</t>
        </r>
      </text>
    </comment>
    <comment ref="D61" authorId="120" xr:uid="{008B00EC-003D-4B69-AF28-003B00620007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Piso da categoria fixado na Convenção Coletiva
</t>
        </r>
      </text>
    </comment>
    <comment ref="C64" authorId="121" xr:uid="{0021006C-003A-4FA3-969E-002D00DE001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Preencher a planilha Encargos Sociais e CAGED 
</t>
        </r>
      </text>
    </comment>
    <comment ref="C66" authorId="122" xr:uid="{00780053-00C2-45CC-B010-005C00320095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de trabalhadores na função
</t>
        </r>
      </text>
    </comment>
    <comment ref="C74" authorId="123" xr:uid="{006200AA-0051-449B-BD59-00A200FB0096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Preencher a planilha Encargos Sociais e CAGED 
</t>
        </r>
      </text>
    </comment>
    <comment ref="C76" authorId="124" xr:uid="{00B900DA-00C4-481F-A492-004400970063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a quantidade de trabalhadores na função
</t>
        </r>
      </text>
    </comment>
    <comment ref="D82" authorId="125" xr:uid="{005D00EC-0098-4C49-9189-0037005A002A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do VT no município
</t>
        </r>
      </text>
    </comment>
    <comment ref="C83" authorId="126" xr:uid="{00B90092-00BB-4F49-905A-00F200F00031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número médio de dias trabalhados por mês
</t>
        </r>
      </text>
    </comment>
    <comment ref="D84" authorId="127" xr:uid="{00BE0051-0082-4485-BB64-0082002C00B2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Valor Unitário considerando o desconto legal de até 6% do salário
</t>
        </r>
      </text>
    </comment>
    <comment ref="D89" authorId="128" xr:uid="{00620002-0025-4913-89C8-00040082005B}">
      <text>
        <r>
          <rPr>
            <b/>
            <sz val="9"/>
            <rFont val="Tahoma"/>
          </rPr>
          <t xml:space="preserve">Clauber Bridi:</t>
        </r>
        <r>
          <rPr>
            <sz val="9"/>
            <rFont val="Tahoma"/>
          </rPr>
          <t xml:space="preserve">
Informar o valor unitário diário do vale refeição, considerando o desconto aplicável ao funcionário, conforme Convenção Coletiva da categoria.
</t>
        </r>
      </text>
    </comment>
  </commentList>
</comments>
</file>

<file path=xl/sharedStrings.xml><?xml version="1.0" encoding="utf-8"?>
<sst xmlns="http://schemas.openxmlformats.org/spreadsheetml/2006/main" count="213" uniqueCount="213">
  <si>
    <t xml:space="preserve">ATUALIZAÇÃO DE VALORES REFERENCIA 31/05/2023</t>
  </si>
  <si>
    <t xml:space="preserve">PREFEITURA MUNICIPAL DE CAMPO BOM/RS</t>
  </si>
  <si>
    <t xml:space="preserve">Secretaria de Obras, Planejamento e Serviços Urbanos  </t>
  </si>
  <si>
    <t xml:space="preserve">LIMPEZA URBANA</t>
  </si>
  <si>
    <t xml:space="preserve">Planilha de Composição de Preços</t>
  </si>
  <si>
    <t xml:space="preserve">Orçamento Sintético</t>
  </si>
  <si>
    <t xml:space="preserve">Descrição do Item</t>
  </si>
  <si>
    <t xml:space="preserve">Custo (R$/mês)</t>
  </si>
  <si>
    <t>%</t>
  </si>
  <si>
    <t>1.1.Encarregados/motoristas</t>
  </si>
  <si>
    <t xml:space="preserve">1.2. Servidores/gari</t>
  </si>
  <si>
    <t xml:space="preserve">PREÇO TOTAL MENSAL COM A LIMPEZA URBANA</t>
  </si>
  <si>
    <t>Quantitativos</t>
  </si>
  <si>
    <t>Mão-de-obra</t>
  </si>
  <si>
    <t>Quantidade</t>
  </si>
  <si>
    <t xml:space="preserve">Total de mão-de-obra (postos de trabalho)</t>
  </si>
  <si>
    <t xml:space="preserve">Veículos e Equipamentos</t>
  </si>
  <si>
    <t xml:space="preserve">3.2. Veiculo para Transporte</t>
  </si>
  <si>
    <t xml:space="preserve">3.3. Trator + implementos</t>
  </si>
  <si>
    <t xml:space="preserve">Fator de utilização (FU)</t>
  </si>
  <si>
    <t xml:space="preserve">1. Mão-de-obra</t>
  </si>
  <si>
    <t>Discriminação</t>
  </si>
  <si>
    <t>Unidade</t>
  </si>
  <si>
    <t xml:space="preserve">Custo unitário</t>
  </si>
  <si>
    <t>Subtotal</t>
  </si>
  <si>
    <r>
      <t xml:space="preserve">Total </t>
    </r>
    <r>
      <rPr>
        <b/>
        <u val="single"/>
        <sz val="9"/>
        <rFont val="Arial"/>
      </rPr>
      <t>(R$)</t>
    </r>
  </si>
  <si>
    <t xml:space="preserve">Piso da categoria</t>
  </si>
  <si>
    <t>mês</t>
  </si>
  <si>
    <t xml:space="preserve">Adicional de Insalubridade</t>
  </si>
  <si>
    <t>Soma</t>
  </si>
  <si>
    <t xml:space="preserve">Encargos Sociais</t>
  </si>
  <si>
    <t xml:space="preserve">Total por Coletor</t>
  </si>
  <si>
    <t xml:space="preserve">Total do Efetivo</t>
  </si>
  <si>
    <t>homem</t>
  </si>
  <si>
    <t xml:space="preserve">Fator de utilização</t>
  </si>
  <si>
    <t xml:space="preserve">1.5. Vale Transporte</t>
  </si>
  <si>
    <t xml:space="preserve">Vale Transporte</t>
  </si>
  <si>
    <t>R$</t>
  </si>
  <si>
    <t xml:space="preserve">Dias Trabalhados por mês</t>
  </si>
  <si>
    <t>dia</t>
  </si>
  <si>
    <t>vale</t>
  </si>
  <si>
    <t xml:space="preserve">1.6. Vale-refeição (diário)</t>
  </si>
  <si>
    <t xml:space="preserve">Vale refeição</t>
  </si>
  <si>
    <t>unidade</t>
  </si>
  <si>
    <t xml:space="preserve">Dias trabalhados por mês</t>
  </si>
  <si>
    <t xml:space="preserve">Custo Mensal com Mão-de-obra (R$/mês)</t>
  </si>
  <si>
    <t xml:space="preserve">2. Uniformes e Equipamentos de Proteção Individual</t>
  </si>
  <si>
    <t xml:space="preserve">2.1. Uniformes e EPIs para Encarredado e Servidores</t>
  </si>
  <si>
    <t/>
  </si>
  <si>
    <t xml:space="preserve">Durabilidade (meses)</t>
  </si>
  <si>
    <t xml:space="preserve">Jaqueta com reflexivo (NBR 15.292)</t>
  </si>
  <si>
    <t>Calça</t>
  </si>
  <si>
    <t>Camiseta</t>
  </si>
  <si>
    <t>Boné</t>
  </si>
  <si>
    <t xml:space="preserve">Botina de segurança c/ palmilha aço</t>
  </si>
  <si>
    <t>par</t>
  </si>
  <si>
    <t xml:space="preserve">Perneira de raspa de couro</t>
  </si>
  <si>
    <t>Avental</t>
  </si>
  <si>
    <t xml:space="preserve">Colete reflexivo</t>
  </si>
  <si>
    <t xml:space="preserve">Luva de proteção</t>
  </si>
  <si>
    <t xml:space="preserve">Óculos de proteção</t>
  </si>
  <si>
    <t xml:space="preserve">Protetor facial</t>
  </si>
  <si>
    <t xml:space="preserve">Protetor auricular</t>
  </si>
  <si>
    <t xml:space="preserve">Mascara para particulas</t>
  </si>
  <si>
    <t xml:space="preserve">Protetor solar FPS 30</t>
  </si>
  <si>
    <t xml:space="preserve">frasco 120g</t>
  </si>
  <si>
    <t xml:space="preserve">Capa de chuva amarelo com refletivo</t>
  </si>
  <si>
    <t xml:space="preserve">Custo Mensal com Uniformes e EPIs (R$/mês)</t>
  </si>
  <si>
    <t xml:space="preserve">3. Veículos e Equipamentos</t>
  </si>
  <si>
    <t xml:space="preserve">3.1. Veículo Caminhão</t>
  </si>
  <si>
    <t xml:space="preserve">3.1.1. Depreciação</t>
  </si>
  <si>
    <t xml:space="preserve">Custo de aquisição do chassis</t>
  </si>
  <si>
    <t xml:space="preserve">Vida útil do chassis</t>
  </si>
  <si>
    <t>anos</t>
  </si>
  <si>
    <t xml:space="preserve">Idade do veículo</t>
  </si>
  <si>
    <t xml:space="preserve">Depreciação do chassis</t>
  </si>
  <si>
    <t xml:space="preserve">Depreciação mensal veículo caminhão</t>
  </si>
  <si>
    <t xml:space="preserve">Custo de aquisição da carroceria</t>
  </si>
  <si>
    <t xml:space="preserve">Vida útil do equipamento</t>
  </si>
  <si>
    <t xml:space="preserve">Idade do equipamento</t>
  </si>
  <si>
    <t xml:space="preserve">Depreciação do compactador</t>
  </si>
  <si>
    <t xml:space="preserve">Depreciação mensal do equipamento</t>
  </si>
  <si>
    <t xml:space="preserve">Total por veículo</t>
  </si>
  <si>
    <t xml:space="preserve">Total da frota</t>
  </si>
  <si>
    <t xml:space="preserve">3.1.2. Remuneração do Capital</t>
  </si>
  <si>
    <t xml:space="preserve">Custo do chassis</t>
  </si>
  <si>
    <t xml:space="preserve">Taxa de juros anual nominal</t>
  </si>
  <si>
    <t xml:space="preserve">Valor do veículo proposto (V0)</t>
  </si>
  <si>
    <t xml:space="preserve">Investimento médio total do chassis</t>
  </si>
  <si>
    <t xml:space="preserve">Remuneração mensal de capital do chassis</t>
  </si>
  <si>
    <t xml:space="preserve">Custo do equipamento</t>
  </si>
  <si>
    <t xml:space="preserve">Valor do equipamento</t>
  </si>
  <si>
    <t xml:space="preserve">Investimento médio total do equipamento</t>
  </si>
  <si>
    <t xml:space="preserve">Remuneração mensal de capital do equipamento</t>
  </si>
  <si>
    <t xml:space="preserve">3.1.3. Impostos e Seguros</t>
  </si>
  <si>
    <t>IPVA</t>
  </si>
  <si>
    <t xml:space="preserve">Licenciamento e Seguro obrigatório</t>
  </si>
  <si>
    <t xml:space="preserve">Seguro contra terceiros</t>
  </si>
  <si>
    <t xml:space="preserve">Impostos e seguros mensais</t>
  </si>
  <si>
    <t xml:space="preserve">3.1.4. Consumos</t>
  </si>
  <si>
    <t xml:space="preserve">Quilometragem mensal</t>
  </si>
  <si>
    <t>Consumo</t>
  </si>
  <si>
    <t xml:space="preserve">Custo de óleo diesel / km rodado</t>
  </si>
  <si>
    <t>km/l</t>
  </si>
  <si>
    <t xml:space="preserve">Custo mensal com óleo diesel</t>
  </si>
  <si>
    <t>km</t>
  </si>
  <si>
    <t xml:space="preserve">Custo de óleo do motor /1.000 km rodados</t>
  </si>
  <si>
    <t xml:space="preserve">l/1.000 km</t>
  </si>
  <si>
    <t xml:space="preserve">Custo mensal com óleo do motor</t>
  </si>
  <si>
    <t xml:space="preserve">Custo de óleo da transmissão /1.000 km</t>
  </si>
  <si>
    <t xml:space="preserve">Custo mensal com óleo da transmissão</t>
  </si>
  <si>
    <t xml:space="preserve">Custo de óleo hidráulico / 1.000 km</t>
  </si>
  <si>
    <t xml:space="preserve">Custo mensal com óleo hidráulico</t>
  </si>
  <si>
    <t xml:space="preserve">Custo de graxa /1.000 km rodados</t>
  </si>
  <si>
    <t xml:space="preserve">kg/1.000 km</t>
  </si>
  <si>
    <t xml:space="preserve">Custo mensal com graxa</t>
  </si>
  <si>
    <t xml:space="preserve">Custo com consumos/km rodado</t>
  </si>
  <si>
    <t xml:space="preserve">R$/km rodado</t>
  </si>
  <si>
    <t xml:space="preserve">3.1.5. Manutenção</t>
  </si>
  <si>
    <t xml:space="preserve">Custo de manutenção dos caminhões</t>
  </si>
  <si>
    <t xml:space="preserve">3.1.6. Pneus</t>
  </si>
  <si>
    <t xml:space="preserve">Custo do jogo de pneus </t>
  </si>
  <si>
    <t xml:space="preserve">Número de recapagens por pneu</t>
  </si>
  <si>
    <t xml:space="preserve">Custo de recapagem</t>
  </si>
  <si>
    <r>
      <t xml:space="preserve">Custo jg. compl. + 1</t>
    </r>
    <r>
      <rPr>
        <sz val="10"/>
        <rFont val="Arial"/>
      </rPr>
      <t xml:space="preserve"> recap./ km rodado</t>
    </r>
  </si>
  <si>
    <t>km/jogo</t>
  </si>
  <si>
    <t xml:space="preserve">Custo mensal com pneus</t>
  </si>
  <si>
    <t xml:space="preserve">3.2. Veículo  para transporte de servidores, equipamentos e materiais</t>
  </si>
  <si>
    <t>3.2.1.Depreciação</t>
  </si>
  <si>
    <t xml:space="preserve">Depreciação mensal do veículo</t>
  </si>
  <si>
    <t xml:space="preserve">3.2.2. Remuneração do Capital</t>
  </si>
  <si>
    <t xml:space="preserve">Remuneração mensal de capital do veiculo</t>
  </si>
  <si>
    <t xml:space="preserve">3.2.3. Impostos e Seguros</t>
  </si>
  <si>
    <t xml:space="preserve">3.2.4. Consumos</t>
  </si>
  <si>
    <t xml:space="preserve">3.2.5. Manutenção</t>
  </si>
  <si>
    <t xml:space="preserve">3.2.6. Pneus</t>
  </si>
  <si>
    <t xml:space="preserve">Custo do jogo de pneus</t>
  </si>
  <si>
    <t xml:space="preserve">3.3.1 Depreciação</t>
  </si>
  <si>
    <t xml:space="preserve">Custo de aquisição do trator</t>
  </si>
  <si>
    <t xml:space="preserve">Vida útil </t>
  </si>
  <si>
    <t xml:space="preserve">Depreciação </t>
  </si>
  <si>
    <t xml:space="preserve">Depreciação mensal do trator</t>
  </si>
  <si>
    <t xml:space="preserve">Custo de aquisição dos implementos</t>
  </si>
  <si>
    <t xml:space="preserve">Idade dos implementos</t>
  </si>
  <si>
    <t xml:space="preserve">Depreciação dos implementos</t>
  </si>
  <si>
    <t xml:space="preserve">Depreciação mensal dos implementos</t>
  </si>
  <si>
    <t xml:space="preserve">Total por trator + implementos</t>
  </si>
  <si>
    <t xml:space="preserve">3.3.2 Remuneração do Capital</t>
  </si>
  <si>
    <t xml:space="preserve">Investimento médio total do trator</t>
  </si>
  <si>
    <t xml:space="preserve">Remuneração mensal de capital do trator</t>
  </si>
  <si>
    <t xml:space="preserve">Custo dos implementos</t>
  </si>
  <si>
    <t xml:space="preserve">Valor do implemento</t>
  </si>
  <si>
    <t xml:space="preserve">Remuneração mensal de capital dos implementos</t>
  </si>
  <si>
    <t xml:space="preserve">3.3.3. Impostos e Seguros</t>
  </si>
  <si>
    <t xml:space="preserve">3.3.4. Consumos</t>
  </si>
  <si>
    <t xml:space="preserve">3.3.5. Manutenção</t>
  </si>
  <si>
    <t xml:space="preserve">Custo de manutenção do trator + implementos</t>
  </si>
  <si>
    <t xml:space="preserve">3.3.6. Pneus</t>
  </si>
  <si>
    <t xml:space="preserve">Custo Mensal com Veículos e Equipamentos (R$/mês)</t>
  </si>
  <si>
    <t xml:space="preserve">4. Ferramentas e Materiais de Consumo</t>
  </si>
  <si>
    <t xml:space="preserve">Recipiente térmico para água (5L)</t>
  </si>
  <si>
    <t xml:space="preserve">Pá de Concha</t>
  </si>
  <si>
    <t xml:space="preserve">Vassoura 40 cm com cabo</t>
  </si>
  <si>
    <t xml:space="preserve">Enxada estreita *25*x23* com cabo</t>
  </si>
  <si>
    <t>Foice</t>
  </si>
  <si>
    <t>Garfo</t>
  </si>
  <si>
    <t xml:space="preserve">Roçadeiras costais 2T à gasolina</t>
  </si>
  <si>
    <t xml:space="preserve">Carretel para roçadeiras</t>
  </si>
  <si>
    <t xml:space="preserve">Fio de nylon </t>
  </si>
  <si>
    <t>rolo</t>
  </si>
  <si>
    <t xml:space="preserve">Gasolina/oleo 2T para roçadeiras </t>
  </si>
  <si>
    <t>litros</t>
  </si>
  <si>
    <t xml:space="preserve">Sopradores 2T à gasolina</t>
  </si>
  <si>
    <t xml:space="preserve">Gasolina/oleo 2T para assopradores</t>
  </si>
  <si>
    <t xml:space="preserve">Recepiente para gasolina com bico (20L)</t>
  </si>
  <si>
    <t xml:space="preserve">Carrinho de mão de aço cap. 50 a 60 litros pneu c/camera</t>
  </si>
  <si>
    <t xml:space="preserve">Cal de pintura</t>
  </si>
  <si>
    <t>kg</t>
  </si>
  <si>
    <t xml:space="preserve">Trincha/brocha 15 cm</t>
  </si>
  <si>
    <t xml:space="preserve">Cavalete de sinalização</t>
  </si>
  <si>
    <t xml:space="preserve">Cone de sinalização</t>
  </si>
  <si>
    <t xml:space="preserve">Rede de proteção</t>
  </si>
  <si>
    <t xml:space="preserve">Carrinho  de  lixo 120 litros</t>
  </si>
  <si>
    <t xml:space="preserve">Saco de lixo (120 litros)</t>
  </si>
  <si>
    <t xml:space="preserve">Produtos de limpeza para banheiros</t>
  </si>
  <si>
    <t>galoes</t>
  </si>
  <si>
    <t xml:space="preserve">Publicidade (adesivos equipamentos)</t>
  </si>
  <si>
    <t>cj</t>
  </si>
  <si>
    <t xml:space="preserve">Publicidade (adesivos veículos)</t>
  </si>
  <si>
    <t xml:space="preserve">Custo Mensal com Ferramentas e Materiais de Consumo (R$/mês)</t>
  </si>
  <si>
    <t xml:space="preserve">5. Monitoramento da Frota</t>
  </si>
  <si>
    <t xml:space="preserve">Implantação dos equipamentos de monitoramento</t>
  </si>
  <si>
    <t xml:space="preserve">Custo mensal com implantação</t>
  </si>
  <si>
    <t xml:space="preserve">Manutenção dos equipamentos de monitoramento</t>
  </si>
  <si>
    <t xml:space="preserve">Custo mensal com manutenção</t>
  </si>
  <si>
    <t xml:space="preserve">Custo Mensal com Monitoramento da Frota (R$/mês)</t>
  </si>
  <si>
    <t xml:space="preserve">CUSTO TOTAL MENSAL COM DESPESAS OPERACIONAIS (R$/mês)</t>
  </si>
  <si>
    <t xml:space="preserve">6. Benefícios e Despesas Indiretas - BDI</t>
  </si>
  <si>
    <t xml:space="preserve">Benefícios e despesas indiretas</t>
  </si>
  <si>
    <t xml:space="preserve">CUSTO MENSAL COM BDI (R$/mês)</t>
  </si>
  <si>
    <t xml:space="preserve">PREÇO MENSAL TOTAL (R$/mês)</t>
  </si>
  <si>
    <t xml:space="preserve">PREÇO  ANUAL TOTAL (R$/ano)</t>
  </si>
  <si>
    <t xml:space="preserve">5. Depreciação Referencial TCE/RS (%)</t>
  </si>
  <si>
    <t xml:space="preserve">Idade do veículo (ano)</t>
  </si>
  <si>
    <t xml:space="preserve">Depreciação Média</t>
  </si>
  <si>
    <t xml:space="preserve">6. Remuneração de Capital</t>
  </si>
  <si>
    <t xml:space="preserve">Fórmula de cálculo da remuneração de capital:</t>
  </si>
  <si>
    <r>
      <t>J</t>
    </r>
    <r>
      <rPr>
        <vertAlign val="subscript"/>
        <sz val="12"/>
        <rFont val="Arial"/>
      </rPr>
      <t>m</t>
    </r>
    <r>
      <rPr>
        <sz val="12"/>
        <rFont val="Arial"/>
      </rPr>
      <t xml:space="preserve"> = remuneração de capital mensal</t>
    </r>
  </si>
  <si>
    <t xml:space="preserve">i = taxa de juros do mercado (sugere-se adotar a taxa SELIC)</t>
  </si>
  <si>
    <t xml:space="preserve">Im = investimento médio</t>
  </si>
  <si>
    <r>
      <t>V</t>
    </r>
    <r>
      <rPr>
        <vertAlign val="subscript"/>
        <sz val="12"/>
        <rFont val="Arial"/>
      </rPr>
      <t>0</t>
    </r>
    <r>
      <rPr>
        <sz val="12"/>
        <rFont val="Arial"/>
      </rPr>
      <t xml:space="preserve"> = valor inicial do bem</t>
    </r>
  </si>
  <si>
    <r>
      <t>V</t>
    </r>
    <r>
      <rPr>
        <vertAlign val="subscript"/>
        <sz val="12"/>
        <rFont val="Arial"/>
      </rPr>
      <t>r</t>
    </r>
    <r>
      <rPr>
        <sz val="12"/>
        <rFont val="Arial"/>
      </rPr>
      <t xml:space="preserve"> = valor residual do bem</t>
    </r>
  </si>
  <si>
    <t xml:space="preserve">n = vida útil do bem em anos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</si>
</sst>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&quot;R$&quot;\ * #,##0.00_-;\-&quot;R$&quot;\ * #,##0.00_-;_-&quot;R$&quot;\ * &quot;-&quot;??_-;_-@_-"/>
    <numFmt numFmtId="161" formatCode="_(* #,##0.00_);_(* \(#,##0.00\);_(* &quot;-&quot;??_);_(@_)"/>
    <numFmt numFmtId="162" formatCode="&quot;R$ &quot;#,##0.00"/>
    <numFmt numFmtId="163" formatCode="&quot;R$ &quot;#,##0.00_);\(&quot;R$ &quot;#,##0.00\)"/>
    <numFmt numFmtId="164" formatCode="_(* #,##0_);_(* \(#,##0\);_(* &quot;-&quot;??_);_(@_)"/>
    <numFmt numFmtId="165" formatCode="_-* #,##0.00_-;\-* #,##0.00_-;_-* &quot;-&quot;??_-;_-@_-"/>
    <numFmt numFmtId="166" formatCode="_(* #,##0.000_);_(* \(#,##0.000\);_(* &quot;-&quot;??_);_(@_)"/>
  </numFmts>
  <fonts count="23">
    <font>
      <sz val="10.000000"/>
      <color theme="1"/>
      <name val="Arial"/>
    </font>
    <font>
      <u/>
      <sz val="10.000000"/>
      <color indexed="4"/>
      <name val="Arial"/>
    </font>
    <font>
      <sz val="11.000000"/>
      <color theme="1"/>
      <name val="Calibri"/>
      <scheme val="minor"/>
    </font>
    <font>
      <sz val="10.000000"/>
      <name val="Arial"/>
    </font>
    <font>
      <sz val="11.000000"/>
      <color rgb="FF9C6500"/>
      <name val="Calibri"/>
      <scheme val="minor"/>
    </font>
    <font>
      <b/>
      <sz val="15.000000"/>
      <color theme="3"/>
      <name val="Calibri"/>
      <scheme val="minor"/>
    </font>
    <font>
      <sz val="11.000000"/>
      <color rgb="FF3F3F76"/>
      <name val="Calibri"/>
      <scheme val="minor"/>
    </font>
    <font>
      <b/>
      <sz val="16.000000"/>
      <name val="Times New Roman"/>
    </font>
    <font>
      <sz val="16.000000"/>
      <name val="Arial"/>
    </font>
    <font>
      <sz val="18.000000"/>
      <name val="Times New Roman"/>
    </font>
    <font>
      <sz val="11.000000"/>
      <name val="Arial"/>
    </font>
    <font>
      <b/>
      <sz val="14.000000"/>
      <name val="Arial"/>
    </font>
    <font>
      <b/>
      <sz val="11.000000"/>
      <name val="Arial"/>
    </font>
    <font>
      <b/>
      <sz val="12.000000"/>
      <name val="Arial"/>
    </font>
    <font>
      <b/>
      <sz val="10.000000"/>
      <name val="Arial"/>
    </font>
    <font>
      <b/>
      <i/>
      <sz val="9.000000"/>
      <name val="Arial"/>
    </font>
    <font>
      <b/>
      <i/>
      <sz val="9.000000"/>
      <color theme="1"/>
      <name val="Arial"/>
    </font>
    <font>
      <b/>
      <sz val="9.000000"/>
      <name val="Arial"/>
    </font>
    <font>
      <sz val="8.000000"/>
      <name val="Arial"/>
    </font>
    <font>
      <sz val="9.000000"/>
      <name val="Arial"/>
    </font>
    <font>
      <i/>
      <sz val="10.000000"/>
      <name val="Arial"/>
    </font>
    <font>
      <sz val="10.000000"/>
      <color indexed="2"/>
      <name val="Arial"/>
    </font>
    <font>
      <sz val="12.000000"/>
      <color theme="1"/>
      <name val="Arial"/>
    </font>
  </fonts>
  <fills count="12">
    <fill>
      <patternFill patternType="none"/>
    </fill>
    <fill>
      <patternFill patternType="gray125"/>
    </fill>
    <fill>
      <patternFill patternType="solid">
        <fgColor rgb="FFFFEB9C"/>
        <bgColor rgb="FFFFEB9C"/>
      </patternFill>
    </fill>
    <fill>
      <patternFill patternType="none"/>
    </fill>
    <fill>
      <patternFill patternType="solid">
        <fgColor indexed="47"/>
        <bgColor indexed="47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indexed="5"/>
        <bgColor indexed="5"/>
      </patternFill>
    </fill>
    <fill>
      <patternFill patternType="solid">
        <fgColor indexed="22"/>
        <bgColor indexed="22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2" tint="-0.099978637043366805"/>
        <bgColor theme="2" tint="-0.099978637043366805"/>
      </patternFill>
    </fill>
    <fill>
      <patternFill patternType="solid">
        <fgColor theme="2"/>
        <bgColor theme="2"/>
      </patternFill>
    </fill>
  </fills>
  <borders count="6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/>
      <bottom style="medium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8">
    <xf fontId="0" fillId="0" borderId="0" numFmtId="0" applyNumberFormat="1" applyFont="1" applyFill="1" applyBorder="1"/>
    <xf fontId="1" fillId="0" borderId="0" numFmtId="0" applyNumberFormat="0" applyFont="1" applyFill="0" applyBorder="0" applyProtection="0">
      <alignment vertical="top"/>
      <protection locked="0"/>
    </xf>
    <xf fontId="2" fillId="0" borderId="0" numFmtId="160" applyNumberFormat="1" applyFont="0" applyFill="0" applyBorder="0" applyProtection="0"/>
    <xf fontId="3" fillId="0" borderId="0" numFmtId="9" applyNumberFormat="1" applyFont="0" applyFill="0" applyBorder="0" applyProtection="0"/>
    <xf fontId="3" fillId="0" borderId="0" numFmtId="161" applyNumberFormat="1" applyFont="0" applyFill="0" applyBorder="0" applyProtection="0"/>
    <xf fontId="4" fillId="2" borderId="0" numFmtId="0" applyNumberFormat="0" applyFont="1" applyFill="1" applyBorder="0"/>
    <xf fontId="5" fillId="3" borderId="1" numFmtId="0" applyNumberFormat="0" applyFont="1" applyFill="0" applyBorder="1"/>
    <xf fontId="6" fillId="4" borderId="2" numFmtId="0" applyNumberFormat="0" applyFont="1" applyFill="1" applyBorder="1"/>
  </cellStyleXfs>
  <cellXfs count="357">
    <xf fontId="0" fillId="0" borderId="0" numFmtId="0" xfId="0"/>
    <xf fontId="3" fillId="0" borderId="0" numFmtId="0" xfId="0" applyFont="1" applyAlignment="1">
      <alignment vertical="center"/>
    </xf>
    <xf fontId="3" fillId="0" borderId="0" numFmtId="161" xfId="4" applyNumberFormat="1" applyFont="1" applyAlignment="1">
      <alignment vertical="center"/>
    </xf>
    <xf fontId="7" fillId="0" borderId="3" numFmtId="160" xfId="2" applyNumberFormat="1" applyFont="1" applyBorder="1" applyAlignment="1">
      <alignment horizontal="center"/>
    </xf>
    <xf fontId="7" fillId="0" borderId="4" numFmtId="160" xfId="2" applyNumberFormat="1" applyFont="1" applyBorder="1" applyAlignment="1">
      <alignment horizontal="center"/>
    </xf>
    <xf fontId="7" fillId="0" borderId="5" numFmtId="160" xfId="2" applyNumberFormat="1" applyFont="1" applyBorder="1" applyAlignment="1">
      <alignment horizontal="center"/>
    </xf>
    <xf fontId="8" fillId="0" borderId="0" numFmtId="161" xfId="4" applyNumberFormat="1" applyFont="1" applyAlignment="1">
      <alignment vertical="center"/>
    </xf>
    <xf fontId="7" fillId="0" borderId="6" numFmtId="160" xfId="2" applyNumberFormat="1" applyFont="1" applyBorder="1" applyAlignment="1">
      <alignment horizontal="center" vertical="center"/>
    </xf>
    <xf fontId="7" fillId="0" borderId="0" numFmtId="160" xfId="2" applyNumberFormat="1" applyFont="1" applyAlignment="1">
      <alignment horizontal="center" vertical="center"/>
    </xf>
    <xf fontId="7" fillId="0" borderId="7" numFmtId="160" xfId="2" applyNumberFormat="1" applyFont="1" applyBorder="1" applyAlignment="1">
      <alignment horizontal="center" vertical="center"/>
    </xf>
    <xf fontId="9" fillId="0" borderId="8" numFmtId="160" xfId="2" applyNumberFormat="1" applyFont="1" applyBorder="1" applyAlignment="1">
      <alignment horizontal="center"/>
    </xf>
    <xf fontId="9" fillId="0" borderId="9" numFmtId="160" xfId="2" applyNumberFormat="1" applyFont="1" applyBorder="1" applyAlignment="1">
      <alignment horizontal="center"/>
    </xf>
    <xf fontId="9" fillId="0" borderId="10" numFmtId="160" xfId="2" applyNumberFormat="1" applyFont="1" applyBorder="1" applyAlignment="1">
      <alignment horizontal="center"/>
    </xf>
    <xf fontId="10" fillId="0" borderId="0" numFmtId="0" xfId="0" applyFont="1" applyAlignment="1">
      <alignment vertical="center"/>
    </xf>
    <xf fontId="11" fillId="5" borderId="3" numFmtId="0" xfId="0" applyFont="1" applyFill="1" applyBorder="1" applyAlignment="1">
      <alignment horizontal="center" vertical="center"/>
    </xf>
    <xf fontId="11" fillId="5" borderId="4" numFmtId="0" xfId="0" applyFont="1" applyFill="1" applyBorder="1" applyAlignment="1">
      <alignment horizontal="center" vertical="center"/>
    </xf>
    <xf fontId="11" fillId="5" borderId="5" numFmtId="0" xfId="0" applyFont="1" applyFill="1" applyBorder="1" applyAlignment="1">
      <alignment horizontal="center" vertical="center"/>
    </xf>
    <xf fontId="0" fillId="0" borderId="0" numFmtId="0" xfId="0" applyAlignment="1">
      <alignment vertical="center"/>
    </xf>
    <xf fontId="12" fillId="5" borderId="11" numFmtId="0" xfId="0" applyFont="1" applyFill="1" applyBorder="1" applyAlignment="1">
      <alignment horizontal="center" vertical="center"/>
    </xf>
    <xf fontId="12" fillId="5" borderId="12" numFmtId="0" xfId="0" applyFont="1" applyFill="1" applyBorder="1" applyAlignment="1">
      <alignment horizontal="center" vertical="center"/>
    </xf>
    <xf fontId="12" fillId="5" borderId="13" numFmtId="0" xfId="0" applyFont="1" applyFill="1" applyBorder="1" applyAlignment="1">
      <alignment horizontal="center" vertical="center"/>
    </xf>
    <xf fontId="10" fillId="0" borderId="0" numFmtId="161" xfId="4" applyNumberFormat="1" applyFont="1" applyAlignment="1">
      <alignment vertical="center"/>
    </xf>
    <xf fontId="0" fillId="0" borderId="6" numFmtId="0" xfId="0" applyBorder="1" applyAlignment="1">
      <alignment vertical="center"/>
    </xf>
    <xf fontId="0" fillId="0" borderId="0" numFmtId="4" xfId="0" applyNumberFormat="1" applyAlignment="1">
      <alignment vertical="center"/>
    </xf>
    <xf fontId="0" fillId="0" borderId="0" numFmtId="161" xfId="4" applyNumberFormat="1" applyAlignment="1">
      <alignment vertical="center"/>
    </xf>
    <xf fontId="0" fillId="0" borderId="7" numFmtId="161" xfId="4" applyNumberFormat="1" applyBorder="1" applyAlignment="1">
      <alignment vertical="center"/>
    </xf>
    <xf fontId="13" fillId="5" borderId="14" numFmtId="161" xfId="4" applyNumberFormat="1" applyFont="1" applyFill="1" applyBorder="1" applyAlignment="1">
      <alignment horizontal="center" vertical="center"/>
    </xf>
    <xf fontId="13" fillId="5" borderId="15" numFmtId="161" xfId="4" applyNumberFormat="1" applyFont="1" applyFill="1" applyBorder="1" applyAlignment="1">
      <alignment horizontal="center" vertical="center"/>
    </xf>
    <xf fontId="13" fillId="5" borderId="16" numFmtId="161" xfId="4" applyNumberFormat="1" applyFont="1" applyFill="1" applyBorder="1" applyAlignment="1">
      <alignment horizontal="center" vertical="center"/>
    </xf>
    <xf fontId="14" fillId="0" borderId="17" numFmtId="161" xfId="4" applyNumberFormat="1" applyFont="1" applyBorder="1" applyAlignment="1">
      <alignment horizontal="center" vertical="center"/>
    </xf>
    <xf fontId="0" fillId="0" borderId="18" numFmtId="161" xfId="4" applyNumberFormat="1" applyBorder="1" applyAlignment="1">
      <alignment vertical="center"/>
    </xf>
    <xf fontId="14" fillId="0" borderId="18" numFmtId="161" xfId="4" applyNumberFormat="1" applyFont="1" applyBorder="1" applyAlignment="1">
      <alignment vertical="center"/>
    </xf>
    <xf fontId="14" fillId="0" borderId="19" numFmtId="161" xfId="4" applyNumberFormat="1" applyFont="1" applyBorder="1" applyAlignment="1">
      <alignment vertical="center"/>
    </xf>
    <xf fontId="14" fillId="0" borderId="20" numFmtId="161" xfId="4" applyNumberFormat="1" applyFont="1" applyBorder="1" applyAlignment="1">
      <alignment horizontal="center" vertical="center"/>
    </xf>
    <xf fontId="14" fillId="0" borderId="0" numFmtId="0" xfId="0" applyFont="1" applyAlignment="1">
      <alignment vertical="center"/>
    </xf>
    <xf fontId="14" fillId="0" borderId="21" numFmtId="161" xfId="4" applyNumberFormat="1" applyFont="1" applyBorder="1" applyAlignment="1">
      <alignment vertical="center"/>
    </xf>
    <xf fontId="14" fillId="0" borderId="22" numFmtId="161" xfId="0" applyNumberFormat="1" applyFont="1" applyBorder="1" applyAlignment="1">
      <alignment vertical="center"/>
    </xf>
    <xf fontId="14" fillId="0" borderId="22" numFmtId="161" xfId="4" applyNumberFormat="1" applyFont="1" applyBorder="1" applyAlignment="1">
      <alignment vertical="center"/>
    </xf>
    <xf fontId="14" fillId="0" borderId="23" numFmtId="162" xfId="0" applyNumberFormat="1" applyFont="1" applyBorder="1" applyAlignment="1">
      <alignment vertical="center"/>
    </xf>
    <xf fontId="14" fillId="0" borderId="24" numFmtId="10" xfId="3" applyNumberFormat="1" applyFont="1" applyBorder="1" applyAlignment="1">
      <alignment vertical="center"/>
    </xf>
    <xf fontId="14" fillId="0" borderId="0" numFmtId="161" xfId="4" applyNumberFormat="1" applyFont="1" applyAlignment="1">
      <alignment vertical="center"/>
    </xf>
    <xf fontId="0" fillId="0" borderId="21" numFmtId="161" xfId="4" applyNumberFormat="1" applyBorder="1" applyAlignment="1">
      <alignment vertical="center"/>
    </xf>
    <xf fontId="0" fillId="0" borderId="22" numFmtId="161" xfId="0" applyNumberFormat="1" applyBorder="1" applyAlignment="1">
      <alignment vertical="center"/>
    </xf>
    <xf fontId="0" fillId="0" borderId="22" numFmtId="161" xfId="4" applyNumberFormat="1" applyBorder="1" applyAlignment="1">
      <alignment vertical="center"/>
    </xf>
    <xf fontId="0" fillId="0" borderId="23" numFmtId="162" xfId="0" applyNumberFormat="1" applyBorder="1" applyAlignment="1">
      <alignment vertical="center"/>
    </xf>
    <xf fontId="0" fillId="0" borderId="24" numFmtId="10" xfId="3" applyNumberFormat="1" applyBorder="1" applyAlignment="1">
      <alignment vertical="center"/>
    </xf>
    <xf fontId="14" fillId="0" borderId="21" numFmtId="161" xfId="4" applyNumberFormat="1" applyFont="1" applyBorder="1" applyAlignment="1">
      <alignment horizontal="left" vertical="center"/>
    </xf>
    <xf fontId="14" fillId="0" borderId="22" numFmtId="161" xfId="4" applyNumberFormat="1" applyFont="1" applyBorder="1" applyAlignment="1">
      <alignment horizontal="left" vertical="center"/>
    </xf>
    <xf fontId="14" fillId="0" borderId="22" numFmtId="4" xfId="0" applyNumberFormat="1" applyFont="1" applyBorder="1" applyAlignment="1">
      <alignment horizontal="centerContinuous" vertical="center"/>
    </xf>
    <xf fontId="14" fillId="0" borderId="0" numFmtId="161" xfId="0" applyNumberFormat="1" applyFont="1" applyAlignment="1">
      <alignment vertical="center"/>
    </xf>
    <xf fontId="15" fillId="0" borderId="21" numFmtId="161" xfId="4" applyNumberFormat="1" applyFont="1" applyBorder="1" applyAlignment="1">
      <alignment horizontal="left" vertical="center"/>
    </xf>
    <xf fontId="0" fillId="0" borderId="22" numFmtId="4" xfId="0" applyNumberFormat="1" applyBorder="1" applyAlignment="1">
      <alignment horizontal="centerContinuous" vertical="center"/>
    </xf>
    <xf fontId="16" fillId="0" borderId="23" numFmtId="162" xfId="0" applyNumberFormat="1" applyFont="1" applyBorder="1" applyAlignment="1">
      <alignment vertical="center"/>
    </xf>
    <xf fontId="15" fillId="0" borderId="24" numFmtId="10" xfId="3" applyNumberFormat="1" applyFont="1" applyBorder="1" applyAlignment="1">
      <alignment vertical="center"/>
    </xf>
    <xf fontId="3" fillId="0" borderId="21" numFmtId="161" xfId="4" applyNumberFormat="1" applyFont="1" applyBorder="1" applyAlignment="1">
      <alignment horizontal="left" vertical="center"/>
    </xf>
    <xf fontId="3" fillId="0" borderId="24" numFmtId="10" xfId="3" applyNumberFormat="1" applyFont="1" applyBorder="1" applyAlignment="1">
      <alignment vertical="center"/>
    </xf>
    <xf fontId="16" fillId="0" borderId="22" numFmtId="4" xfId="0" applyNumberFormat="1" applyFont="1" applyBorder="1" applyAlignment="1">
      <alignment horizontal="centerContinuous" vertical="center"/>
    </xf>
    <xf fontId="14" fillId="0" borderId="25" numFmtId="162" xfId="0" applyNumberFormat="1" applyFont="1" applyBorder="1" applyAlignment="1">
      <alignment vertical="center"/>
    </xf>
    <xf fontId="14" fillId="0" borderId="14" numFmtId="161" xfId="4" applyNumberFormat="1" applyFont="1" applyBorder="1" applyAlignment="1">
      <alignment horizontal="left" vertical="center"/>
    </xf>
    <xf fontId="14" fillId="0" borderId="15" numFmtId="4" xfId="0" applyNumberFormat="1" applyFont="1" applyBorder="1" applyAlignment="1">
      <alignment horizontal="centerContinuous" vertical="center"/>
    </xf>
    <xf fontId="14" fillId="0" borderId="15" numFmtId="161" xfId="4" applyNumberFormat="1" applyFont="1" applyBorder="1" applyAlignment="1">
      <alignment vertical="center"/>
    </xf>
    <xf fontId="14" fillId="0" borderId="26" numFmtId="163" xfId="0" applyNumberFormat="1" applyFont="1" applyBorder="1" applyAlignment="1">
      <alignment vertical="center"/>
    </xf>
    <xf fontId="14" fillId="0" borderId="27" numFmtId="9" xfId="3" applyNumberFormat="1" applyFont="1" applyBorder="1" applyAlignment="1">
      <alignment vertical="center"/>
    </xf>
    <xf fontId="3" fillId="0" borderId="0" numFmtId="0" xfId="0" applyFont="1" applyAlignment="1">
      <alignment vertical="top"/>
    </xf>
    <xf fontId="3" fillId="0" borderId="0" numFmtId="161" xfId="4" applyNumberFormat="1" applyFont="1" applyAlignment="1">
      <alignment vertical="top"/>
    </xf>
    <xf fontId="13" fillId="5" borderId="14" numFmtId="161" xfId="4" applyNumberFormat="1" applyFont="1" applyFill="1" applyBorder="1" applyAlignment="1">
      <alignment horizontal="center" vertical="top"/>
    </xf>
    <xf fontId="13" fillId="5" borderId="15" numFmtId="161" xfId="4" applyNumberFormat="1" applyFont="1" applyFill="1" applyBorder="1" applyAlignment="1">
      <alignment horizontal="center" vertical="top"/>
    </xf>
    <xf fontId="13" fillId="5" borderId="16" numFmtId="161" xfId="4" applyNumberFormat="1" applyFont="1" applyFill="1" applyBorder="1" applyAlignment="1">
      <alignment horizontal="center" vertical="top"/>
    </xf>
    <xf fontId="14" fillId="0" borderId="14" numFmtId="161" xfId="4" applyNumberFormat="1" applyFont="1" applyBorder="1" applyAlignment="1">
      <alignment horizontal="center" vertical="top"/>
    </xf>
    <xf fontId="14" fillId="0" borderId="15" numFmtId="161" xfId="4" applyNumberFormat="1" applyFont="1" applyBorder="1" applyAlignment="1">
      <alignment horizontal="center" vertical="top"/>
    </xf>
    <xf fontId="14" fillId="0" borderId="28" numFmtId="161" xfId="4" applyNumberFormat="1" applyFont="1" applyBorder="1" applyAlignment="1">
      <alignment horizontal="center" vertical="top"/>
    </xf>
    <xf fontId="14" fillId="0" borderId="29" numFmtId="161" xfId="4" applyNumberFormat="1" applyFont="1" applyBorder="1" applyAlignment="1">
      <alignment horizontal="right" vertical="top"/>
    </xf>
    <xf fontId="0" fillId="0" borderId="21" numFmtId="161" xfId="4" applyNumberFormat="1" applyBorder="1" applyAlignment="1">
      <alignment vertical="top"/>
    </xf>
    <xf fontId="3" fillId="0" borderId="18" numFmtId="161" xfId="4" applyNumberFormat="1" applyFont="1" applyBorder="1" applyAlignment="1">
      <alignment vertical="top"/>
    </xf>
    <xf fontId="0" fillId="0" borderId="18" numFmtId="0" xfId="0" applyBorder="1" applyAlignment="1">
      <alignment vertical="top"/>
    </xf>
    <xf fontId="3" fillId="0" borderId="20" numFmtId="1" xfId="4" applyNumberFormat="1" applyFont="1" applyBorder="1" applyAlignment="1">
      <alignment horizontal="center" vertical="top"/>
    </xf>
    <xf fontId="3" fillId="0" borderId="22" numFmtId="161" xfId="4" applyNumberFormat="1" applyFont="1" applyBorder="1" applyAlignment="1">
      <alignment vertical="top"/>
    </xf>
    <xf fontId="0" fillId="0" borderId="22" numFmtId="0" xfId="0" applyBorder="1" applyAlignment="1">
      <alignment vertical="top"/>
    </xf>
    <xf fontId="3" fillId="0" borderId="30" numFmtId="1" xfId="4" applyNumberFormat="1" applyFont="1" applyBorder="1" applyAlignment="1">
      <alignment horizontal="center" vertical="top"/>
    </xf>
    <xf fontId="14" fillId="0" borderId="8" numFmtId="161" xfId="4" applyNumberFormat="1" applyFont="1" applyBorder="1" applyAlignment="1">
      <alignment vertical="top"/>
    </xf>
    <xf fontId="14" fillId="0" borderId="9" numFmtId="4" xfId="0" applyNumberFormat="1" applyFont="1" applyBorder="1" applyAlignment="1">
      <alignment vertical="top"/>
    </xf>
    <xf fontId="0" fillId="0" borderId="9" numFmtId="0" xfId="0" applyBorder="1" applyAlignment="1">
      <alignment vertical="top"/>
    </xf>
    <xf fontId="14" fillId="0" borderId="31" numFmtId="1" xfId="4" applyNumberFormat="1" applyFont="1" applyBorder="1" applyAlignment="1">
      <alignment horizontal="center" vertical="top"/>
    </xf>
    <xf fontId="14" fillId="0" borderId="6" numFmtId="161" xfId="4" applyNumberFormat="1" applyFont="1" applyBorder="1" applyAlignment="1">
      <alignment vertical="top"/>
    </xf>
    <xf fontId="14" fillId="0" borderId="0" numFmtId="4" xfId="0" applyNumberFormat="1" applyFont="1" applyAlignment="1">
      <alignment vertical="top"/>
    </xf>
    <xf fontId="3" fillId="0" borderId="7" numFmtId="161" xfId="4" applyNumberFormat="1" applyFont="1" applyBorder="1" applyAlignment="1">
      <alignment vertical="top"/>
    </xf>
    <xf fontId="14" fillId="0" borderId="32" numFmtId="0" xfId="0" applyFont="1" applyBorder="1" applyAlignment="1">
      <alignment horizontal="center" vertical="top"/>
    </xf>
    <xf fontId="14" fillId="0" borderId="33" numFmtId="0" xfId="0" applyFont="1" applyBorder="1" applyAlignment="1">
      <alignment horizontal="center" vertical="top"/>
    </xf>
    <xf fontId="3" fillId="0" borderId="34" numFmtId="161" xfId="4" applyNumberFormat="1" applyFont="1" applyBorder="1" applyAlignment="1">
      <alignment vertical="top"/>
    </xf>
    <xf fontId="3" fillId="0" borderId="35" numFmtId="161" xfId="4" applyNumberFormat="1" applyFont="1" applyBorder="1" applyAlignment="1">
      <alignment vertical="top"/>
    </xf>
    <xf fontId="3" fillId="0" borderId="35" numFmtId="0" xfId="0" applyFont="1" applyBorder="1" applyAlignment="1">
      <alignment vertical="top"/>
    </xf>
    <xf fontId="3" fillId="0" borderId="23" numFmtId="1" xfId="4" applyNumberFormat="1" applyFont="1" applyBorder="1" applyAlignment="1">
      <alignment horizontal="center" vertical="top"/>
    </xf>
    <xf fontId="3" fillId="0" borderId="36" numFmtId="161" xfId="4" applyNumberFormat="1" applyFont="1" applyBorder="1" applyAlignment="1">
      <alignment vertical="top"/>
    </xf>
    <xf fontId="3" fillId="0" borderId="37" numFmtId="161" xfId="4" applyNumberFormat="1" applyFont="1" applyBorder="1" applyAlignment="1">
      <alignment vertical="top"/>
    </xf>
    <xf fontId="3" fillId="0" borderId="38" numFmtId="0" xfId="0" applyFont="1" applyBorder="1" applyAlignment="1">
      <alignment vertical="top"/>
    </xf>
    <xf fontId="3" fillId="0" borderId="39" numFmtId="1" xfId="4" applyNumberFormat="1" applyFont="1" applyBorder="1" applyAlignment="1">
      <alignment horizontal="center" vertical="top"/>
    </xf>
    <xf fontId="3" fillId="0" borderId="40" numFmtId="161" xfId="4" applyNumberFormat="1" applyFont="1" applyBorder="1" applyAlignment="1">
      <alignment vertical="top"/>
    </xf>
    <xf fontId="3" fillId="0" borderId="41" numFmtId="161" xfId="4" applyNumberFormat="1" applyFont="1" applyBorder="1" applyAlignment="1">
      <alignment vertical="top"/>
    </xf>
    <xf fontId="3" fillId="0" borderId="41" numFmtId="0" xfId="0" applyFont="1" applyBorder="1" applyAlignment="1">
      <alignment vertical="top"/>
    </xf>
    <xf fontId="3" fillId="0" borderId="42" numFmtId="1" xfId="4" applyNumberFormat="1" applyFont="1" applyBorder="1" applyAlignment="1">
      <alignment horizontal="center" vertical="top"/>
    </xf>
    <xf fontId="3" fillId="0" borderId="0" numFmtId="1" xfId="4" applyNumberFormat="1" applyFont="1" applyAlignment="1">
      <alignment horizontal="center" vertical="top"/>
    </xf>
    <xf fontId="3" fillId="0" borderId="0" numFmtId="164" xfId="4" applyNumberFormat="1" applyFont="1" applyAlignment="1">
      <alignment horizontal="center" vertical="top"/>
    </xf>
    <xf fontId="14" fillId="0" borderId="14" numFmtId="161" xfId="4" applyNumberFormat="1" applyFont="1" applyBorder="1" applyAlignment="1">
      <alignment vertical="center"/>
    </xf>
    <xf fontId="14" fillId="6" borderId="16" numFmtId="9" xfId="3" applyNumberFormat="1" applyFont="1" applyFill="1" applyBorder="1" applyAlignment="1">
      <alignment vertical="center"/>
    </xf>
    <xf fontId="14" fillId="0" borderId="0" numFmtId="164" xfId="4" applyNumberFormat="1" applyFont="1" applyAlignment="1">
      <alignment horizontal="center" vertical="center"/>
    </xf>
    <xf fontId="3" fillId="0" borderId="0" numFmtId="164" xfId="4" applyNumberFormat="1" applyFont="1" applyAlignment="1">
      <alignment horizontal="center" vertical="center"/>
    </xf>
    <xf fontId="3" fillId="0" borderId="0" numFmtId="161" xfId="0" applyNumberFormat="1" applyFont="1" applyAlignment="1">
      <alignment vertical="center"/>
    </xf>
    <xf fontId="17" fillId="7" borderId="43" numFmtId="0" xfId="0" applyFont="1" applyFill="1" applyBorder="1" applyAlignment="1">
      <alignment horizontal="center" vertical="center"/>
    </xf>
    <xf fontId="17" fillId="7" borderId="44" numFmtId="0" xfId="0" applyFont="1" applyFill="1" applyBorder="1" applyAlignment="1">
      <alignment horizontal="center" vertical="center"/>
    </xf>
    <xf fontId="17" fillId="7" borderId="44" numFmtId="161" xfId="4" applyNumberFormat="1" applyFont="1" applyFill="1" applyBorder="1" applyAlignment="1">
      <alignment horizontal="center" vertical="center"/>
    </xf>
    <xf fontId="17" fillId="7" borderId="27" numFmtId="161" xfId="4" applyNumberFormat="1" applyFont="1" applyFill="1" applyBorder="1" applyAlignment="1">
      <alignment horizontal="center" vertical="center"/>
    </xf>
    <xf fontId="3" fillId="0" borderId="45" numFmtId="0" xfId="0" applyFont="1" applyBorder="1" applyAlignment="1">
      <alignment vertical="center"/>
    </xf>
    <xf fontId="3" fillId="0" borderId="45" numFmtId="0" xfId="0" applyFont="1" applyBorder="1" applyAlignment="1">
      <alignment horizontal="center" vertical="center"/>
    </xf>
    <xf fontId="3" fillId="6" borderId="45" numFmtId="161" xfId="4" applyNumberFormat="1" applyFont="1" applyFill="1" applyBorder="1" applyAlignment="1">
      <alignment horizontal="center" vertical="center"/>
    </xf>
    <xf fontId="3" fillId="0" borderId="45" numFmtId="161" xfId="4" applyNumberFormat="1" applyFont="1" applyBorder="1" applyAlignment="1">
      <alignment horizontal="center" vertical="center"/>
    </xf>
    <xf fontId="3" fillId="0" borderId="23" numFmtId="0" xfId="0" applyFont="1" applyBorder="1" applyAlignment="1">
      <alignment vertical="center"/>
    </xf>
    <xf fontId="3" fillId="0" borderId="23" numFmtId="0" xfId="0" applyFont="1" applyBorder="1" applyAlignment="1">
      <alignment horizontal="center" vertical="center"/>
    </xf>
    <xf fontId="3" fillId="0" borderId="23" numFmtId="161" xfId="4" applyNumberFormat="1" applyFont="1" applyBorder="1" applyAlignment="1">
      <alignment horizontal="center" vertical="center"/>
    </xf>
    <xf fontId="14" fillId="0" borderId="46" numFmtId="0" xfId="0" applyFont="1" applyBorder="1" applyAlignment="1">
      <alignment vertical="center"/>
    </xf>
    <xf fontId="14" fillId="0" borderId="0" numFmtId="0" xfId="0" applyFont="1" applyAlignment="1">
      <alignment horizontal="center" vertical="center"/>
    </xf>
    <xf fontId="14" fillId="0" borderId="0" numFmtId="161" xfId="4" applyNumberFormat="1" applyFont="1" applyAlignment="1">
      <alignment horizontal="center" vertical="center"/>
    </xf>
    <xf fontId="14" fillId="0" borderId="46" numFmtId="161" xfId="4" applyNumberFormat="1" applyFont="1" applyBorder="1" applyAlignment="1">
      <alignment horizontal="center" vertical="center"/>
    </xf>
    <xf fontId="3" fillId="8" borderId="23" numFmtId="161" xfId="4" applyNumberFormat="1" applyFont="1" applyFill="1" applyBorder="1" applyAlignment="1">
      <alignment horizontal="center" vertical="center"/>
    </xf>
    <xf fontId="3" fillId="6" borderId="23" numFmtId="0" xfId="0" applyFont="1" applyFill="1" applyBorder="1" applyAlignment="1">
      <alignment horizontal="center" vertical="center"/>
    </xf>
    <xf fontId="3" fillId="0" borderId="0" numFmtId="161" xfId="4" applyNumberFormat="1" applyFont="1" applyAlignment="1">
      <alignment horizontal="right" vertical="center"/>
    </xf>
    <xf fontId="3" fillId="0" borderId="23" numFmtId="161" xfId="4" applyNumberFormat="1" applyFont="1" applyBorder="1" applyAlignment="1">
      <alignment vertical="center"/>
    </xf>
    <xf fontId="14" fillId="7" borderId="16" numFmtId="161" xfId="4" applyNumberFormat="1" applyFont="1" applyFill="1" applyBorder="1" applyAlignment="1">
      <alignment horizontal="center" vertical="center"/>
    </xf>
    <xf fontId="3" fillId="0" borderId="0" numFmtId="161" xfId="0" applyNumberFormat="1" applyFont="1" applyAlignment="1">
      <alignment vertical="top"/>
    </xf>
    <xf fontId="17" fillId="7" borderId="43" numFmtId="0" xfId="0" applyFont="1" applyFill="1" applyBorder="1" applyAlignment="1">
      <alignment horizontal="center" vertical="top"/>
    </xf>
    <xf fontId="17" fillId="7" borderId="44" numFmtId="0" xfId="0" applyFont="1" applyFill="1" applyBorder="1" applyAlignment="1">
      <alignment horizontal="center" vertical="top"/>
    </xf>
    <xf fontId="17" fillId="7" borderId="44" numFmtId="161" xfId="4" applyNumberFormat="1" applyFont="1" applyFill="1" applyBorder="1" applyAlignment="1">
      <alignment horizontal="center" vertical="top"/>
    </xf>
    <xf fontId="17" fillId="7" borderId="27" numFmtId="161" xfId="4" applyNumberFormat="1" applyFont="1" applyFill="1" applyBorder="1" applyAlignment="1">
      <alignment horizontal="center" vertical="top"/>
    </xf>
    <xf fontId="3" fillId="0" borderId="45" numFmtId="0" xfId="0" applyFont="1" applyBorder="1" applyAlignment="1">
      <alignment vertical="top"/>
    </xf>
    <xf fontId="3" fillId="0" borderId="45" numFmtId="0" xfId="0" applyFont="1" applyBorder="1" applyAlignment="1">
      <alignment horizontal="center" vertical="top"/>
    </xf>
    <xf fontId="3" fillId="0" borderId="45" numFmtId="161" xfId="4" applyNumberFormat="1" applyFont="1" applyBorder="1" applyAlignment="1">
      <alignment horizontal="center" vertical="top"/>
    </xf>
    <xf fontId="3" fillId="0" borderId="23" numFmtId="0" xfId="0" applyFont="1" applyBorder="1" applyAlignment="1">
      <alignment vertical="top"/>
    </xf>
    <xf fontId="3" fillId="0" borderId="23" numFmtId="0" xfId="0" applyFont="1" applyBorder="1" applyAlignment="1">
      <alignment horizontal="center" vertical="top"/>
    </xf>
    <xf fontId="3" fillId="0" borderId="23" numFmtId="161" xfId="4" applyNumberFormat="1" applyFont="1" applyBorder="1" applyAlignment="1">
      <alignment horizontal="center" vertical="top"/>
    </xf>
    <xf fontId="14" fillId="0" borderId="46" numFmtId="0" xfId="0" applyFont="1" applyBorder="1" applyAlignment="1">
      <alignment vertical="top"/>
    </xf>
    <xf fontId="14" fillId="0" borderId="0" numFmtId="0" xfId="0" applyFont="1" applyAlignment="1">
      <alignment horizontal="center" vertical="top"/>
    </xf>
    <xf fontId="14" fillId="0" borderId="0" numFmtId="161" xfId="4" applyNumberFormat="1" applyFont="1" applyAlignment="1">
      <alignment horizontal="center" vertical="top"/>
    </xf>
    <xf fontId="14" fillId="0" borderId="46" numFmtId="161" xfId="4" applyNumberFormat="1" applyFont="1" applyBorder="1" applyAlignment="1">
      <alignment horizontal="center" vertical="top"/>
    </xf>
    <xf fontId="3" fillId="8" borderId="23" numFmtId="161" xfId="4" applyNumberFormat="1" applyFont="1" applyFill="1" applyBorder="1" applyAlignment="1">
      <alignment horizontal="center" vertical="top"/>
    </xf>
    <xf fontId="3" fillId="6" borderId="23" numFmtId="0" xfId="0" applyFont="1" applyFill="1" applyBorder="1" applyAlignment="1">
      <alignment horizontal="center" vertical="top"/>
    </xf>
    <xf fontId="3" fillId="0" borderId="0" numFmtId="161" xfId="4" applyNumberFormat="1" applyFont="1" applyAlignment="1">
      <alignment horizontal="right" vertical="top"/>
    </xf>
    <xf fontId="3" fillId="0" borderId="23" numFmtId="161" xfId="4" applyNumberFormat="1" applyFont="1" applyBorder="1" applyAlignment="1">
      <alignment vertical="top"/>
    </xf>
    <xf fontId="14" fillId="7" borderId="16" numFmtId="161" xfId="4" applyNumberFormat="1" applyFont="1" applyFill="1" applyBorder="1" applyAlignment="1">
      <alignment horizontal="center" vertical="top"/>
    </xf>
    <xf fontId="3" fillId="0" borderId="0" numFmtId="0" xfId="0" applyFont="1" applyAlignment="1">
      <alignment horizontal="right" vertical="top"/>
    </xf>
    <xf fontId="3" fillId="0" borderId="23" numFmtId="164" xfId="4" applyNumberFormat="1" applyFont="1" applyBorder="1" applyAlignment="1">
      <alignment horizontal="center" vertical="top"/>
    </xf>
    <xf fontId="3" fillId="6" borderId="0" numFmtId="161" xfId="4" applyNumberFormat="1" applyFont="1" applyFill="1" applyAlignment="1">
      <alignment vertical="top"/>
    </xf>
    <xf fontId="3" fillId="6" borderId="0" numFmtId="0" xfId="0" applyFont="1" applyFill="1" applyAlignment="1">
      <alignment vertical="top"/>
    </xf>
    <xf fontId="3" fillId="0" borderId="23" numFmtId="161" xfId="0" applyNumberFormat="1" applyFont="1" applyBorder="1" applyAlignment="1">
      <alignment vertical="top"/>
    </xf>
    <xf fontId="3" fillId="0" borderId="23" numFmtId="164" xfId="4" applyNumberFormat="1" applyFont="1" applyBorder="1" applyAlignment="1">
      <alignment vertical="top"/>
    </xf>
    <xf fontId="14" fillId="7" borderId="47" numFmtId="161" xfId="4" applyNumberFormat="1" applyFont="1" applyFill="1" applyBorder="1" applyAlignment="1">
      <alignment vertical="top"/>
    </xf>
    <xf fontId="3" fillId="0" borderId="0" numFmtId="0" xfId="0" applyFont="1"/>
    <xf fontId="3" fillId="0" borderId="0" numFmtId="161" xfId="4" applyNumberFormat="1" applyFont="1"/>
    <xf fontId="14" fillId="0" borderId="0" numFmtId="161" xfId="4" applyNumberFormat="1" applyFont="1"/>
    <xf fontId="17" fillId="7" borderId="43" numFmtId="0" xfId="0" applyFont="1" applyFill="1" applyBorder="1" applyAlignment="1">
      <alignment horizontal="center"/>
    </xf>
    <xf fontId="17" fillId="7" borderId="44" numFmtId="0" xfId="0" applyFont="1" applyFill="1" applyBorder="1" applyAlignment="1">
      <alignment horizontal="center"/>
    </xf>
    <xf fontId="17" fillId="7" borderId="44" numFmtId="161" xfId="4" applyNumberFormat="1" applyFont="1" applyFill="1" applyBorder="1" applyAlignment="1">
      <alignment horizontal="center"/>
    </xf>
    <xf fontId="17" fillId="7" borderId="27" numFmtId="161" xfId="4" applyNumberFormat="1" applyFont="1" applyFill="1" applyBorder="1" applyAlignment="1">
      <alignment horizontal="center"/>
    </xf>
    <xf fontId="3" fillId="0" borderId="23" numFmtId="0" xfId="0" applyFont="1" applyBorder="1"/>
    <xf fontId="3" fillId="0" borderId="23" numFmtId="0" xfId="0" applyFont="1" applyBorder="1" applyAlignment="1">
      <alignment horizontal="center"/>
    </xf>
    <xf fontId="3" fillId="0" borderId="23" numFmtId="164" xfId="4" applyNumberFormat="1" applyFont="1" applyBorder="1"/>
    <xf fontId="3" fillId="6" borderId="23" numFmtId="161" xfId="4" applyNumberFormat="1" applyFont="1" applyFill="1" applyBorder="1" applyAlignment="1">
      <alignment horizontal="center"/>
    </xf>
    <xf fontId="3" fillId="0" borderId="23" numFmtId="161" xfId="4" applyNumberFormat="1" applyFont="1" applyBorder="1"/>
    <xf fontId="14" fillId="7" borderId="47" numFmtId="161" xfId="4" applyNumberFormat="1" applyFont="1" applyFill="1" applyBorder="1"/>
    <xf fontId="14" fillId="0" borderId="14" numFmtId="0" xfId="0" applyFont="1" applyBorder="1"/>
    <xf fontId="14" fillId="0" borderId="15" numFmtId="0" xfId="0" applyFont="1" applyBorder="1"/>
    <xf fontId="14" fillId="0" borderId="15" numFmtId="161" xfId="4" applyNumberFormat="1" applyFont="1" applyBorder="1"/>
    <xf fontId="14" fillId="0" borderId="16" numFmtId="161" xfId="4" applyNumberFormat="1" applyFont="1" applyBorder="1"/>
    <xf fontId="14" fillId="0" borderId="0" numFmtId="0" xfId="0" applyFont="1" applyAlignment="1">
      <alignment vertical="top"/>
    </xf>
    <xf fontId="3" fillId="0" borderId="0" numFmtId="161" xfId="4" applyNumberFormat="1" applyFont="1" applyAlignment="1" quotePrefix="1">
      <alignment vertical="top"/>
    </xf>
    <xf fontId="17" fillId="7" borderId="44" numFmtId="0" xfId="0" applyFont="1" applyFill="1" applyBorder="1" applyAlignment="1">
      <alignment horizontal="center" vertical="top" wrapText="1"/>
    </xf>
    <xf fontId="3" fillId="6" borderId="23" numFmtId="13" xfId="0" applyNumberFormat="1" applyFont="1" applyFill="1" applyBorder="1" applyAlignment="1">
      <alignment horizontal="center" vertical="top"/>
    </xf>
    <xf fontId="3" fillId="6" borderId="45" numFmtId="161" xfId="4" applyNumberFormat="1" applyFont="1" applyFill="1" applyBorder="1" applyAlignment="1">
      <alignment horizontal="center" vertical="top"/>
    </xf>
    <xf fontId="3" fillId="0" borderId="23" numFmtId="1" xfId="0" applyNumberFormat="1" applyFont="1" applyBorder="1" applyAlignment="1">
      <alignment horizontal="center" vertical="top"/>
    </xf>
    <xf fontId="14" fillId="0" borderId="14" numFmtId="0" xfId="0" applyFont="1" applyBorder="1" applyAlignment="1">
      <alignment vertical="top"/>
    </xf>
    <xf fontId="3" fillId="0" borderId="15" numFmtId="0" xfId="0" applyFont="1" applyBorder="1" applyAlignment="1">
      <alignment vertical="top"/>
    </xf>
    <xf fontId="3" fillId="0" borderId="15" numFmtId="161" xfId="4" applyNumberFormat="1" applyFont="1" applyBorder="1" applyAlignment="1">
      <alignment vertical="top"/>
    </xf>
    <xf fontId="3" fillId="0" borderId="16" numFmtId="161" xfId="4" applyNumberFormat="1" applyFont="1" applyBorder="1" applyAlignment="1">
      <alignment vertical="top"/>
    </xf>
    <xf fontId="14" fillId="7" borderId="47" numFmtId="161" xfId="4" applyNumberFormat="1" applyFont="1" applyFill="1" applyBorder="1" applyAlignment="1">
      <alignment horizontal="center" vertical="top"/>
    </xf>
    <xf fontId="1" fillId="0" borderId="0" numFmtId="0" xfId="1" applyFont="1" applyAlignment="1" applyProtection="1">
      <alignment vertical="center"/>
    </xf>
    <xf fontId="1" fillId="0" borderId="0" numFmtId="0" xfId="1" applyFont="1" applyAlignment="1" applyProtection="1">
      <alignment vertical="top"/>
    </xf>
    <xf fontId="3" fillId="0" borderId="0" numFmtId="161" xfId="4" applyNumberFormat="1" applyFont="1" applyAlignment="1">
      <alignment horizontal="center" vertical="top"/>
    </xf>
    <xf fontId="3" fillId="0" borderId="0" numFmtId="165" xfId="0" applyNumberFormat="1" applyFont="1" applyAlignment="1">
      <alignment vertical="center"/>
    </xf>
    <xf fontId="14" fillId="0" borderId="48" numFmtId="0" xfId="0" applyFont="1" applyBorder="1" applyAlignment="1">
      <alignment vertical="top"/>
    </xf>
    <xf fontId="14" fillId="0" borderId="48" numFmtId="0" xfId="0" applyFont="1" applyBorder="1" applyAlignment="1">
      <alignment horizontal="center" vertical="top"/>
    </xf>
    <xf fontId="14" fillId="0" borderId="48" numFmtId="161" xfId="4" applyNumberFormat="1" applyFont="1" applyBorder="1" applyAlignment="1">
      <alignment horizontal="center" vertical="top"/>
    </xf>
    <xf fontId="3" fillId="8" borderId="23" numFmtId="161" xfId="4" applyNumberFormat="1" applyFont="1" applyFill="1" applyBorder="1" applyAlignment="1">
      <alignment vertical="top"/>
    </xf>
    <xf fontId="14" fillId="0" borderId="23" numFmtId="0" xfId="0" applyFont="1" applyBorder="1" applyAlignment="1">
      <alignment vertical="top"/>
    </xf>
    <xf fontId="14" fillId="0" borderId="23" numFmtId="0" xfId="0" applyFont="1" applyBorder="1" applyAlignment="1">
      <alignment horizontal="center" vertical="top"/>
    </xf>
    <xf fontId="14" fillId="0" borderId="23" numFmtId="161" xfId="4" applyNumberFormat="1" applyFont="1" applyBorder="1" applyAlignment="1">
      <alignment horizontal="center" vertical="top"/>
    </xf>
    <xf fontId="18" fillId="0" borderId="0" numFmtId="0" xfId="0" applyFont="1" applyAlignment="1">
      <alignment horizontal="left" vertical="top" wrapText="1"/>
    </xf>
    <xf fontId="17" fillId="7" borderId="32" numFmtId="0" xfId="0" applyFont="1" applyFill="1" applyBorder="1" applyAlignment="1">
      <alignment horizontal="center" vertical="top"/>
    </xf>
    <xf fontId="17" fillId="7" borderId="33" numFmtId="0" xfId="0" applyFont="1" applyFill="1" applyBorder="1" applyAlignment="1">
      <alignment horizontal="center" vertical="top"/>
    </xf>
    <xf fontId="17" fillId="7" borderId="33" numFmtId="161" xfId="4" applyNumberFormat="1" applyFont="1" applyFill="1" applyBorder="1" applyAlignment="1">
      <alignment horizontal="center" vertical="top"/>
    </xf>
    <xf fontId="3" fillId="0" borderId="23" numFmtId="161" xfId="0" applyNumberFormat="1" applyFont="1" applyBorder="1" applyAlignment="1">
      <alignment horizontal="center" vertical="top"/>
    </xf>
    <xf fontId="3" fillId="0" borderId="0" numFmtId="0" xfId="0" applyFont="1" applyAlignment="1">
      <alignment horizontal="center" vertical="top"/>
    </xf>
    <xf fontId="3" fillId="6" borderId="23" numFmtId="161" xfId="4" applyNumberFormat="1" applyFont="1" applyFill="1" applyBorder="1" applyAlignment="1">
      <alignment horizontal="center" vertical="top"/>
    </xf>
    <xf fontId="3" fillId="0" borderId="0" numFmtId="3" xfId="0" applyNumberFormat="1" applyFont="1" applyAlignment="1">
      <alignment vertical="top"/>
    </xf>
    <xf fontId="3" fillId="6" borderId="23" numFmtId="3" xfId="0" applyNumberFormat="1" applyFont="1" applyFill="1" applyBorder="1" applyAlignment="1">
      <alignment vertical="top"/>
    </xf>
    <xf fontId="3" fillId="6" borderId="45" numFmtId="4" xfId="0" applyNumberFormat="1" applyFont="1" applyFill="1" applyBorder="1" applyAlignment="1">
      <alignment horizontal="center" vertical="top"/>
    </xf>
    <xf fontId="3" fillId="6" borderId="45" numFmtId="166" xfId="4" applyNumberFormat="1" applyFont="1" applyFill="1" applyBorder="1" applyAlignment="1">
      <alignment horizontal="center" vertical="top"/>
    </xf>
    <xf fontId="3" fillId="0" borderId="45" numFmtId="166" xfId="4" applyNumberFormat="1" applyFont="1" applyBorder="1" applyAlignment="1">
      <alignment horizontal="center" vertical="top"/>
    </xf>
    <xf fontId="3" fillId="6" borderId="23" numFmtId="4" xfId="0" applyNumberFormat="1" applyFont="1" applyFill="1" applyBorder="1" applyAlignment="1">
      <alignment horizontal="center" vertical="top"/>
    </xf>
    <xf fontId="3" fillId="0" borderId="23" numFmtId="166" xfId="4" applyNumberFormat="1" applyFont="1" applyBorder="1" applyAlignment="1">
      <alignment horizontal="center" vertical="top"/>
    </xf>
    <xf fontId="14" fillId="0" borderId="23" numFmtId="164" xfId="4" applyNumberFormat="1" applyFont="1" applyBorder="1" applyAlignment="1">
      <alignment horizontal="center" vertical="top"/>
    </xf>
    <xf fontId="14" fillId="0" borderId="23" numFmtId="166" xfId="4" applyNumberFormat="1" applyFont="1" applyBorder="1" applyAlignment="1">
      <alignment horizontal="center" vertical="top"/>
    </xf>
    <xf fontId="17" fillId="7" borderId="29" numFmtId="161" xfId="4" applyNumberFormat="1" applyFont="1" applyFill="1" applyBorder="1" applyAlignment="1">
      <alignment horizontal="center" vertical="top"/>
    </xf>
    <xf fontId="0" fillId="0" borderId="42" numFmtId="0" xfId="0" applyBorder="1" applyAlignment="1">
      <alignment vertical="top"/>
    </xf>
    <xf fontId="0" fillId="0" borderId="42" numFmtId="0" xfId="0" applyBorder="1" applyAlignment="1">
      <alignment horizontal="center" vertical="top"/>
    </xf>
    <xf fontId="0" fillId="0" borderId="36" numFmtId="4" xfId="0" applyNumberFormat="1" applyBorder="1" applyAlignment="1">
      <alignment horizontal="center" vertical="top"/>
    </xf>
    <xf fontId="0" fillId="0" borderId="49" numFmtId="0" xfId="0" applyBorder="1" applyAlignment="1">
      <alignment vertical="top"/>
    </xf>
    <xf fontId="0" fillId="0" borderId="0" numFmtId="0" xfId="0" applyAlignment="1">
      <alignment vertical="top"/>
    </xf>
    <xf fontId="0" fillId="9" borderId="50" numFmtId="4" xfId="0" applyNumberFormat="1" applyFill="1" applyBorder="1" applyAlignment="1">
      <alignment horizontal="center" vertical="top"/>
    </xf>
    <xf fontId="3" fillId="6" borderId="45" numFmtId="0" xfId="0" applyFont="1" applyFill="1" applyBorder="1" applyAlignment="1">
      <alignment horizontal="center" vertical="top"/>
    </xf>
    <xf fontId="3" fillId="6" borderId="23" numFmtId="3" xfId="0" applyNumberFormat="1" applyFont="1" applyFill="1" applyBorder="1" applyAlignment="1">
      <alignment horizontal="center" vertical="top"/>
    </xf>
    <xf fontId="14" fillId="0" borderId="0" numFmtId="0" xfId="0" applyFont="1" applyAlignment="1">
      <alignment horizontal="left" vertical="center"/>
    </xf>
    <xf fontId="3" fillId="0" borderId="0" numFmtId="161" xfId="4" applyNumberFormat="1" applyFont="1" applyAlignment="1">
      <alignment horizontal="center" vertical="center"/>
    </xf>
    <xf fontId="14" fillId="0" borderId="48" numFmtId="0" xfId="0" applyFont="1" applyBorder="1" applyAlignment="1">
      <alignment vertical="center"/>
    </xf>
    <xf fontId="14" fillId="0" borderId="48" numFmtId="0" xfId="0" applyFont="1" applyBorder="1" applyAlignment="1">
      <alignment horizontal="center" vertical="center"/>
    </xf>
    <xf fontId="14" fillId="0" borderId="48" numFmtId="161" xfId="4" applyNumberFormat="1" applyFont="1" applyBorder="1" applyAlignment="1">
      <alignment horizontal="center" vertical="center"/>
    </xf>
    <xf fontId="14" fillId="0" borderId="23" numFmtId="0" xfId="0" applyFont="1" applyBorder="1" applyAlignment="1">
      <alignment vertical="center"/>
    </xf>
    <xf fontId="14" fillId="0" borderId="23" numFmtId="0" xfId="0" applyFont="1" applyBorder="1" applyAlignment="1">
      <alignment horizontal="center" vertical="center"/>
    </xf>
    <xf fontId="14" fillId="0" borderId="23" numFmtId="161" xfId="4" applyNumberFormat="1" applyFont="1" applyBorder="1" applyAlignment="1">
      <alignment horizontal="center" vertical="center"/>
    </xf>
    <xf fontId="18" fillId="0" borderId="0" numFmtId="0" xfId="0" applyFont="1" applyAlignment="1">
      <alignment horizontal="left" vertical="center" wrapText="1"/>
    </xf>
    <xf fontId="14" fillId="7" borderId="47" numFmtId="161" xfId="4" applyNumberFormat="1" applyFont="1" applyFill="1" applyBorder="1" applyAlignment="1">
      <alignment horizontal="center" vertical="center"/>
    </xf>
    <xf fontId="17" fillId="7" borderId="32" numFmtId="0" xfId="0" applyFont="1" applyFill="1" applyBorder="1" applyAlignment="1">
      <alignment horizontal="center" vertical="center"/>
    </xf>
    <xf fontId="17" fillId="7" borderId="33" numFmtId="0" xfId="0" applyFont="1" applyFill="1" applyBorder="1" applyAlignment="1">
      <alignment horizontal="center" vertical="center"/>
    </xf>
    <xf fontId="17" fillId="7" borderId="33" numFmtId="161" xfId="4" applyNumberFormat="1" applyFont="1" applyFill="1" applyBorder="1" applyAlignment="1">
      <alignment horizontal="center" vertical="center"/>
    </xf>
    <xf fontId="3" fillId="0" borderId="23" numFmtId="161" xfId="0" applyNumberFormat="1" applyFont="1" applyBorder="1" applyAlignment="1">
      <alignment horizontal="center" vertical="center"/>
    </xf>
    <xf fontId="3" fillId="0" borderId="0" numFmtId="0" xfId="0" applyFont="1" applyAlignment="1">
      <alignment horizontal="center" vertical="center"/>
    </xf>
    <xf fontId="3" fillId="6" borderId="23" numFmtId="161" xfId="4" applyNumberFormat="1" applyFont="1" applyFill="1" applyBorder="1" applyAlignment="1">
      <alignment horizontal="center" vertical="center"/>
    </xf>
    <xf fontId="3" fillId="0" borderId="0" numFmtId="3" xfId="0" applyNumberFormat="1" applyFont="1" applyAlignment="1">
      <alignment vertical="center"/>
    </xf>
    <xf fontId="3" fillId="6" borderId="23" numFmtId="3" xfId="0" applyNumberFormat="1" applyFont="1" applyFill="1" applyBorder="1" applyAlignment="1">
      <alignment vertical="center"/>
    </xf>
    <xf fontId="3" fillId="6" borderId="45" numFmtId="4" xfId="0" applyNumberFormat="1" applyFont="1" applyFill="1" applyBorder="1" applyAlignment="1">
      <alignment horizontal="center" vertical="center"/>
    </xf>
    <xf fontId="3" fillId="6" borderId="45" numFmtId="166" xfId="4" applyNumberFormat="1" applyFont="1" applyFill="1" applyBorder="1" applyAlignment="1">
      <alignment horizontal="center" vertical="center"/>
    </xf>
    <xf fontId="3" fillId="0" borderId="23" numFmtId="164" xfId="4" applyNumberFormat="1" applyFont="1" applyBorder="1" applyAlignment="1">
      <alignment horizontal="center" vertical="center"/>
    </xf>
    <xf fontId="3" fillId="0" borderId="45" numFmtId="166" xfId="4" applyNumberFormat="1" applyFont="1" applyBorder="1" applyAlignment="1">
      <alignment horizontal="center" vertical="center"/>
    </xf>
    <xf fontId="3" fillId="6" borderId="23" numFmtId="4" xfId="0" applyNumberFormat="1" applyFont="1" applyFill="1" applyBorder="1" applyAlignment="1">
      <alignment horizontal="center" vertical="center"/>
    </xf>
    <xf fontId="3" fillId="0" borderId="23" numFmtId="166" xfId="4" applyNumberFormat="1" applyFont="1" applyBorder="1" applyAlignment="1">
      <alignment horizontal="center" vertical="center"/>
    </xf>
    <xf fontId="14" fillId="0" borderId="23" numFmtId="164" xfId="4" applyNumberFormat="1" applyFont="1" applyBorder="1" applyAlignment="1">
      <alignment horizontal="center" vertical="center"/>
    </xf>
    <xf fontId="14" fillId="0" borderId="23" numFmtId="166" xfId="4" applyNumberFormat="1" applyFont="1" applyBorder="1" applyAlignment="1">
      <alignment horizontal="center" vertical="center"/>
    </xf>
    <xf fontId="3" fillId="6" borderId="45" numFmtId="0" xfId="0" applyFont="1" applyFill="1" applyBorder="1" applyAlignment="1">
      <alignment horizontal="center" vertical="center"/>
    </xf>
    <xf fontId="3" fillId="6" borderId="23" numFmtId="3" xfId="0" applyNumberFormat="1" applyFont="1" applyFill="1" applyBorder="1" applyAlignment="1">
      <alignment horizontal="center" vertical="center"/>
    </xf>
    <xf fontId="14" fillId="7" borderId="42" numFmtId="161" xfId="4" applyNumberFormat="1" applyFont="1" applyFill="1" applyBorder="1" applyAlignment="1">
      <alignment horizontal="center" vertical="center"/>
    </xf>
    <xf fontId="0" fillId="0" borderId="0" numFmtId="0" xfId="0" applyAlignment="1">
      <alignment horizontal="center" vertical="center"/>
    </xf>
    <xf fontId="3" fillId="0" borderId="51" numFmtId="0" xfId="0" applyFont="1" applyBorder="1" applyAlignment="1">
      <alignment vertical="center"/>
    </xf>
    <xf fontId="1" fillId="0" borderId="52" numFmtId="0" xfId="1" applyFont="1" applyBorder="1" applyAlignment="1">
      <alignment vertical="center"/>
    </xf>
    <xf fontId="3" fillId="0" borderId="9" numFmtId="0" xfId="0" applyFont="1" applyBorder="1" applyAlignment="1">
      <alignment vertical="center"/>
    </xf>
    <xf fontId="3" fillId="0" borderId="9" numFmtId="161" xfId="4" applyNumberFormat="1" applyFont="1" applyBorder="1" applyAlignment="1">
      <alignment vertical="center"/>
    </xf>
    <xf fontId="3" fillId="0" borderId="53" numFmtId="0" xfId="0" applyFont="1" applyBorder="1" applyAlignment="1">
      <alignment vertical="center"/>
    </xf>
    <xf fontId="3" fillId="0" borderId="53" numFmtId="0" xfId="0" applyFont="1" applyBorder="1" applyAlignment="1">
      <alignment horizontal="center" vertical="center"/>
    </xf>
    <xf fontId="3" fillId="6" borderId="53" numFmtId="161" xfId="4" applyNumberFormat="1" applyFont="1" applyFill="1" applyBorder="1" applyAlignment="1">
      <alignment horizontal="center" vertical="center"/>
    </xf>
    <xf fontId="3" fillId="0" borderId="53" numFmtId="161" xfId="4" applyNumberFormat="1" applyFont="1" applyBorder="1" applyAlignment="1">
      <alignment horizontal="center" vertical="center"/>
    </xf>
    <xf fontId="3" fillId="0" borderId="54" numFmtId="0" xfId="0" applyFont="1" applyBorder="1" applyAlignment="1">
      <alignment vertical="center"/>
    </xf>
    <xf fontId="3" fillId="0" borderId="54" numFmtId="0" xfId="0" applyFont="1" applyBorder="1" applyAlignment="1">
      <alignment horizontal="center" vertical="center"/>
    </xf>
    <xf fontId="3" fillId="6" borderId="54" numFmtId="161" xfId="4" applyNumberFormat="1" applyFont="1" applyFill="1" applyBorder="1" applyAlignment="1">
      <alignment horizontal="center" vertical="center"/>
    </xf>
    <xf fontId="3" fillId="0" borderId="54" numFmtId="161" xfId="4" applyNumberFormat="1" applyFont="1" applyBorder="1" applyAlignment="1">
      <alignment horizontal="center" vertical="center"/>
    </xf>
    <xf fontId="3" fillId="8" borderId="23" numFmtId="161" xfId="4" applyNumberFormat="1" applyFont="1" applyFill="1" applyBorder="1" applyAlignment="1">
      <alignment vertical="center"/>
    </xf>
    <xf fontId="14" fillId="0" borderId="22" numFmtId="0" xfId="0" applyFont="1" applyBorder="1" applyAlignment="1">
      <alignment horizontal="center" vertical="center"/>
    </xf>
    <xf fontId="14" fillId="0" borderId="55" numFmtId="161" xfId="4" applyNumberFormat="1" applyFont="1" applyBorder="1" applyAlignment="1">
      <alignment horizontal="center" vertical="center"/>
    </xf>
    <xf fontId="18" fillId="0" borderId="35" numFmtId="0" xfId="0" applyFont="1" applyBorder="1" applyAlignment="1">
      <alignment horizontal="left" vertical="center" wrapText="1"/>
    </xf>
    <xf fontId="3" fillId="0" borderId="39" numFmtId="161" xfId="4" applyNumberFormat="1" applyFont="1" applyBorder="1" applyAlignment="1">
      <alignment horizontal="right" vertical="center"/>
    </xf>
    <xf fontId="3" fillId="0" borderId="56" numFmtId="161" xfId="4" applyNumberFormat="1" applyFont="1" applyBorder="1" applyAlignment="1">
      <alignment vertical="center"/>
    </xf>
    <xf fontId="3" fillId="0" borderId="0" numFmtId="0" xfId="0" applyFont="1" applyAlignment="1">
      <alignment vertical="top" wrapText="1"/>
    </xf>
    <xf fontId="1" fillId="0" borderId="9" numFmtId="0" xfId="1" applyFont="1" applyBorder="1" applyAlignment="1">
      <alignment vertical="top" wrapText="1"/>
    </xf>
    <xf fontId="3" fillId="0" borderId="9" numFmtId="0" xfId="0" applyFont="1" applyBorder="1" applyAlignment="1">
      <alignment vertical="top" wrapText="1"/>
    </xf>
    <xf fontId="3" fillId="0" borderId="9" numFmtId="161" xfId="4" applyNumberFormat="1" applyFont="1" applyBorder="1" applyAlignment="1">
      <alignment vertical="top"/>
    </xf>
    <xf fontId="17" fillId="7" borderId="57" numFmtId="0" xfId="0" applyFont="1" applyFill="1" applyBorder="1" applyAlignment="1">
      <alignment horizontal="center" vertical="top" wrapText="1"/>
    </xf>
    <xf fontId="17" fillId="7" borderId="53" numFmtId="0" xfId="0" applyFont="1" applyFill="1" applyBorder="1" applyAlignment="1">
      <alignment horizontal="center" vertical="top" wrapText="1"/>
    </xf>
    <xf fontId="17" fillId="7" borderId="33" numFmtId="0" xfId="0" applyFont="1" applyFill="1" applyBorder="1" applyAlignment="1">
      <alignment horizontal="center" vertical="top" wrapText="1"/>
    </xf>
    <xf fontId="17" fillId="7" borderId="53" numFmtId="161" xfId="4" applyNumberFormat="1" applyFont="1" applyFill="1" applyBorder="1" applyAlignment="1">
      <alignment horizontal="center" vertical="top"/>
    </xf>
    <xf fontId="3" fillId="0" borderId="23" numFmtId="0" xfId="0" applyFont="1" applyBorder="1" applyAlignment="1">
      <alignment vertical="top" wrapText="1"/>
    </xf>
    <xf fontId="3" fillId="0" borderId="23" numFmtId="0" xfId="0" applyFont="1" applyBorder="1" applyAlignment="1">
      <alignment horizontal="center" vertical="top" wrapText="1"/>
    </xf>
    <xf fontId="3" fillId="0" borderId="45" numFmtId="0" xfId="0" applyFont="1" applyBorder="1" applyAlignment="1">
      <alignment horizontal="center" vertical="top" wrapText="1"/>
    </xf>
    <xf fontId="3" fillId="0" borderId="58" numFmtId="161" xfId="4" applyNumberFormat="1" applyFont="1" applyBorder="1" applyAlignment="1">
      <alignment horizontal="center" vertical="top"/>
    </xf>
    <xf fontId="3" fillId="6" borderId="23" numFmtId="0" xfId="0" applyFont="1" applyFill="1" applyBorder="1" applyAlignment="1">
      <alignment horizontal="center" vertical="top" wrapText="1"/>
    </xf>
    <xf fontId="3" fillId="0" borderId="59" numFmtId="161" xfId="4" applyNumberFormat="1" applyFont="1" applyBorder="1" applyAlignment="1">
      <alignment horizontal="center" vertical="top"/>
    </xf>
    <xf fontId="3" fillId="0" borderId="23" numFmtId="161" xfId="0" applyNumberFormat="1" applyFont="1" applyBorder="1" applyAlignment="1">
      <alignment horizontal="center" vertical="top" wrapText="1"/>
    </xf>
    <xf fontId="3" fillId="0" borderId="23" numFmtId="161" xfId="4" applyNumberFormat="1" applyFont="1" applyBorder="1" applyAlignment="1">
      <alignment horizontal="center" vertical="top" wrapText="1"/>
    </xf>
    <xf fontId="14" fillId="0" borderId="48" numFmtId="0" xfId="0" applyFont="1" applyBorder="1" applyAlignment="1">
      <alignment vertical="top" wrapText="1"/>
    </xf>
    <xf fontId="14" fillId="0" borderId="48" numFmtId="0" xfId="0" applyFont="1" applyBorder="1" applyAlignment="1">
      <alignment horizontal="center" vertical="top" wrapText="1"/>
    </xf>
    <xf fontId="3" fillId="0" borderId="54" numFmtId="0" xfId="0" applyFont="1" applyBorder="1" applyAlignment="1">
      <alignment vertical="top" wrapText="1"/>
    </xf>
    <xf fontId="3" fillId="0" borderId="54" numFmtId="0" xfId="0" applyFont="1" applyBorder="1" applyAlignment="1">
      <alignment horizontal="center" vertical="top" wrapText="1"/>
    </xf>
    <xf fontId="3" fillId="0" borderId="54" numFmtId="161" xfId="4" applyNumberFormat="1" applyFont="1" applyBorder="1" applyAlignment="1">
      <alignment horizontal="center" vertical="top"/>
    </xf>
    <xf fontId="14" fillId="0" borderId="23" numFmtId="0" xfId="0" applyFont="1" applyBorder="1" applyAlignment="1">
      <alignment vertical="top" wrapText="1"/>
    </xf>
    <xf fontId="14" fillId="0" borderId="23" numFmtId="0" xfId="0" applyFont="1" applyBorder="1" applyAlignment="1">
      <alignment horizontal="center" vertical="top" wrapText="1"/>
    </xf>
    <xf fontId="14" fillId="0" borderId="22" numFmtId="0" xfId="0" applyFont="1" applyBorder="1" applyAlignment="1">
      <alignment horizontal="center" vertical="top" wrapText="1"/>
    </xf>
    <xf fontId="14" fillId="0" borderId="55" numFmtId="161" xfId="4" applyNumberFormat="1" applyFont="1" applyBorder="1" applyAlignment="1">
      <alignment horizontal="center" vertical="top"/>
    </xf>
    <xf fontId="3" fillId="0" borderId="60" numFmtId="161" xfId="4" applyNumberFormat="1" applyFont="1" applyBorder="1" applyAlignment="1">
      <alignment horizontal="center" vertical="top"/>
    </xf>
    <xf fontId="3" fillId="0" borderId="35" numFmtId="0" xfId="0" applyFont="1" applyBorder="1" applyAlignment="1">
      <alignment vertical="top" wrapText="1"/>
    </xf>
    <xf fontId="3" fillId="0" borderId="35" numFmtId="0" xfId="0" applyFont="1" applyBorder="1" applyAlignment="1">
      <alignment horizontal="center" vertical="top" wrapText="1"/>
    </xf>
    <xf fontId="3" fillId="0" borderId="39" numFmtId="161" xfId="4" applyNumberFormat="1" applyFont="1" applyBorder="1" applyAlignment="1">
      <alignment horizontal="right" vertical="top"/>
    </xf>
    <xf fontId="3" fillId="0" borderId="56" numFmtId="161" xfId="4" applyNumberFormat="1" applyFont="1" applyBorder="1" applyAlignment="1">
      <alignment vertical="top"/>
    </xf>
    <xf fontId="3" fillId="0" borderId="9" numFmtId="0" xfId="0" applyFont="1" applyBorder="1" applyAlignment="1">
      <alignment vertical="top"/>
    </xf>
    <xf fontId="3" fillId="0" borderId="53" numFmtId="0" xfId="0" applyFont="1" applyBorder="1" applyAlignment="1">
      <alignment vertical="top"/>
    </xf>
    <xf fontId="3" fillId="0" borderId="53" numFmtId="0" xfId="0" applyFont="1" applyBorder="1" applyAlignment="1">
      <alignment horizontal="center" vertical="top"/>
    </xf>
    <xf fontId="3" fillId="0" borderId="53" numFmtId="161" xfId="4" applyNumberFormat="1" applyFont="1" applyBorder="1" applyAlignment="1">
      <alignment horizontal="center" vertical="top"/>
    </xf>
    <xf fontId="3" fillId="0" borderId="58" numFmtId="161" xfId="4" applyNumberFormat="1" applyFont="1" applyBorder="1" applyAlignment="1">
      <alignment vertical="top"/>
    </xf>
    <xf fontId="3" fillId="0" borderId="59" numFmtId="161" xfId="4" applyNumberFormat="1" applyFont="1" applyBorder="1" applyAlignment="1">
      <alignment vertical="top"/>
    </xf>
    <xf fontId="14" fillId="0" borderId="59" numFmtId="161" xfId="4" applyNumberFormat="1" applyFont="1" applyBorder="1" applyAlignment="1">
      <alignment horizontal="center" vertical="top"/>
    </xf>
    <xf fontId="3" fillId="0" borderId="60" numFmtId="161" xfId="4" applyNumberFormat="1" applyFont="1" applyBorder="1" applyAlignment="1">
      <alignment vertical="top"/>
    </xf>
    <xf fontId="14" fillId="7" borderId="27" numFmtId="161" xfId="4" applyNumberFormat="1" applyFont="1" applyFill="1" applyBorder="1" applyAlignment="1">
      <alignment horizontal="center" vertical="top"/>
    </xf>
    <xf fontId="3" fillId="0" borderId="4" numFmtId="161" xfId="4" applyNumberFormat="1" applyFont="1" applyBorder="1" applyAlignment="1">
      <alignment vertical="top"/>
    </xf>
    <xf fontId="3" fillId="0" borderId="12" numFmtId="0" xfId="0" applyFont="1" applyBorder="1" applyAlignment="1">
      <alignment vertical="top"/>
    </xf>
    <xf fontId="3" fillId="0" borderId="12" numFmtId="3" xfId="0" applyNumberFormat="1" applyFont="1" applyBorder="1" applyAlignment="1">
      <alignment vertical="top"/>
    </xf>
    <xf fontId="3" fillId="0" borderId="59" numFmtId="3" xfId="0" applyNumberFormat="1" applyFont="1" applyBorder="1" applyAlignment="1">
      <alignment vertical="top"/>
    </xf>
    <xf fontId="3" fillId="0" borderId="61" numFmtId="0" xfId="0" applyFont="1" applyBorder="1" applyAlignment="1">
      <alignment vertical="top"/>
    </xf>
    <xf fontId="3" fillId="0" borderId="61" numFmtId="3" xfId="0" applyNumberFormat="1" applyFont="1" applyBorder="1" applyAlignment="1">
      <alignment vertical="top"/>
    </xf>
    <xf fontId="3" fillId="6" borderId="53" numFmtId="4" xfId="0" applyNumberFormat="1" applyFont="1" applyFill="1" applyBorder="1" applyAlignment="1">
      <alignment horizontal="center" vertical="top"/>
    </xf>
    <xf fontId="3" fillId="6" borderId="53" numFmtId="166" xfId="4" applyNumberFormat="1" applyFont="1" applyFill="1" applyBorder="1" applyAlignment="1">
      <alignment horizontal="center" vertical="top"/>
    </xf>
    <xf fontId="3" fillId="0" borderId="62" numFmtId="161" xfId="4" applyNumberFormat="1" applyFont="1" applyBorder="1" applyAlignment="1">
      <alignment vertical="top"/>
    </xf>
    <xf fontId="0" fillId="0" borderId="42" numFmtId="2" xfId="0" applyNumberFormat="1" applyBorder="1" applyAlignment="1">
      <alignment horizontal="center" vertical="top"/>
    </xf>
    <xf fontId="0" fillId="0" borderId="42" numFmtId="4" xfId="0" applyNumberFormat="1" applyBorder="1" applyAlignment="1">
      <alignment horizontal="center" vertical="top"/>
    </xf>
    <xf fontId="0" fillId="0" borderId="4" numFmtId="0" xfId="0" applyBorder="1" applyAlignment="1">
      <alignment vertical="top"/>
    </xf>
    <xf fontId="3" fillId="5" borderId="63" numFmtId="4" xfId="0" applyNumberFormat="1" applyFont="1" applyFill="1" applyBorder="1" applyAlignment="1">
      <alignment horizontal="center" vertical="top"/>
    </xf>
    <xf fontId="3" fillId="6" borderId="53" numFmtId="0" xfId="0" applyFont="1" applyFill="1" applyBorder="1" applyAlignment="1">
      <alignment horizontal="center" vertical="top"/>
    </xf>
    <xf fontId="3" fillId="6" borderId="53" numFmtId="161" xfId="4" applyNumberFormat="1" applyFont="1" applyFill="1" applyBorder="1" applyAlignment="1">
      <alignment horizontal="center" vertical="top"/>
    </xf>
    <xf fontId="14" fillId="0" borderId="14" numFmtId="0" xfId="0" applyFont="1" applyBorder="1" applyAlignment="1">
      <alignment vertical="center"/>
    </xf>
    <xf fontId="14" fillId="0" borderId="15" numFmtId="0" xfId="0" applyFont="1" applyBorder="1" applyAlignment="1">
      <alignment vertical="center"/>
    </xf>
    <xf fontId="14" fillId="0" borderId="16" numFmtId="161" xfId="4" applyNumberFormat="1" applyFont="1" applyBorder="1" applyAlignment="1">
      <alignment vertical="center"/>
    </xf>
    <xf fontId="3" fillId="6" borderId="23" numFmtId="13" xfId="0" applyNumberFormat="1" applyFont="1" applyFill="1" applyBorder="1" applyAlignment="1">
      <alignment horizontal="center" vertical="center"/>
    </xf>
    <xf fontId="19" fillId="0" borderId="23" numFmtId="0" xfId="0" applyFont="1" applyBorder="1" applyAlignment="1">
      <alignment horizontal="center" vertical="center"/>
    </xf>
    <xf fontId="3" fillId="0" borderId="23" numFmtId="1" xfId="0" applyNumberFormat="1" applyFont="1" applyBorder="1" applyAlignment="1">
      <alignment horizontal="center" vertical="center"/>
    </xf>
    <xf fontId="20" fillId="0" borderId="23" numFmtId="161" xfId="4" applyNumberFormat="1" applyFont="1" applyBorder="1" applyAlignment="1">
      <alignment horizontal="center" vertical="center"/>
    </xf>
    <xf fontId="18" fillId="0" borderId="0" numFmtId="0" xfId="0" applyFont="1" applyAlignment="1">
      <alignment vertical="center"/>
    </xf>
    <xf fontId="21" fillId="0" borderId="0" numFmtId="0" xfId="0" applyFont="1" applyAlignment="1">
      <alignment vertical="center"/>
    </xf>
    <xf fontId="21" fillId="0" borderId="0" numFmtId="161" xfId="4" applyNumberFormat="1" applyFont="1" applyAlignment="1">
      <alignment vertical="center"/>
    </xf>
    <xf fontId="3" fillId="0" borderId="15" numFmtId="0" xfId="0" applyFont="1" applyBorder="1" applyAlignment="1">
      <alignment vertical="center"/>
    </xf>
    <xf fontId="3" fillId="0" borderId="15" numFmtId="161" xfId="4" applyNumberFormat="1" applyFont="1" applyBorder="1" applyAlignment="1">
      <alignment vertical="center"/>
    </xf>
    <xf fontId="3" fillId="0" borderId="16" numFmtId="161" xfId="4" applyNumberFormat="1" applyFont="1" applyBorder="1" applyAlignment="1">
      <alignment vertical="center"/>
    </xf>
    <xf fontId="14" fillId="7" borderId="47" numFmtId="161" xfId="4" applyNumberFormat="1" applyFont="1" applyFill="1" applyBorder="1" applyAlignment="1">
      <alignment vertical="center"/>
    </xf>
    <xf fontId="13" fillId="0" borderId="0" numFmtId="0" xfId="0" applyFont="1" applyAlignment="1">
      <alignment vertical="center"/>
    </xf>
    <xf fontId="13" fillId="0" borderId="0" numFmtId="161" xfId="4" applyNumberFormat="1" applyFont="1" applyAlignment="1">
      <alignment vertical="center"/>
    </xf>
    <xf fontId="14" fillId="0" borderId="3" numFmtId="0" xfId="0" applyFont="1" applyBorder="1" applyAlignment="1">
      <alignment horizontal="left" vertical="center"/>
    </xf>
    <xf fontId="14" fillId="0" borderId="4" numFmtId="0" xfId="0" applyFont="1" applyBorder="1" applyAlignment="1">
      <alignment horizontal="left" vertical="center"/>
    </xf>
    <xf fontId="14" fillId="0" borderId="5" numFmtId="0" xfId="0" applyFont="1" applyBorder="1" applyAlignment="1">
      <alignment horizontal="left" vertical="center"/>
    </xf>
    <xf fontId="14" fillId="0" borderId="64" numFmtId="161" xfId="4" applyNumberFormat="1" applyFont="1" applyBorder="1" applyAlignment="1">
      <alignment horizontal="center" vertical="center"/>
    </xf>
    <xf fontId="14" fillId="0" borderId="8" numFmtId="0" xfId="0" applyFont="1" applyBorder="1" applyAlignment="1">
      <alignment horizontal="left" vertical="center"/>
    </xf>
    <xf fontId="14" fillId="0" borderId="9" numFmtId="0" xfId="0" applyFont="1" applyBorder="1" applyAlignment="1">
      <alignment horizontal="left" vertical="center"/>
    </xf>
    <xf fontId="14" fillId="0" borderId="10" numFmtId="0" xfId="0" applyFont="1" applyBorder="1" applyAlignment="1">
      <alignment horizontal="left" vertical="center"/>
    </xf>
    <xf fontId="14" fillId="0" borderId="65" numFmtId="161" xfId="4" applyNumberFormat="1" applyFont="1" applyBorder="1" applyAlignment="1">
      <alignment horizontal="center" vertical="center"/>
    </xf>
    <xf fontId="13" fillId="10" borderId="14" numFmtId="0" xfId="0" applyFont="1" applyFill="1" applyBorder="1" applyAlignment="1">
      <alignment horizontal="center" vertical="center"/>
    </xf>
    <xf fontId="13" fillId="10" borderId="15" numFmtId="0" xfId="0" applyFont="1" applyFill="1" applyBorder="1" applyAlignment="1">
      <alignment horizontal="center" vertical="center"/>
    </xf>
    <xf fontId="14" fillId="0" borderId="0" numFmtId="0" xfId="0" applyFont="1"/>
    <xf fontId="12" fillId="0" borderId="66" numFmtId="0" xfId="0" applyFont="1" applyBorder="1" applyAlignment="1">
      <alignment horizontal="center" vertical="center"/>
    </xf>
    <xf fontId="12" fillId="11" borderId="23" numFmtId="0" xfId="0" applyFont="1" applyFill="1" applyBorder="1" applyAlignment="1">
      <alignment horizontal="center" vertical="center"/>
    </xf>
    <xf fontId="10" fillId="0" borderId="66" numFmtId="0" xfId="0" applyFont="1" applyBorder="1" applyAlignment="1">
      <alignment horizontal="center" vertical="center"/>
    </xf>
    <xf fontId="10" fillId="11" borderId="23" numFmtId="2" xfId="0" applyNumberFormat="1" applyFont="1" applyFill="1" applyBorder="1" applyAlignment="1">
      <alignment horizontal="right" vertical="center"/>
    </xf>
    <xf fontId="10" fillId="0" borderId="67" numFmtId="0" xfId="0" applyFont="1" applyBorder="1" applyAlignment="1">
      <alignment horizontal="center" vertical="center"/>
    </xf>
    <xf fontId="10" fillId="11" borderId="25" numFmtId="2" xfId="0" applyNumberFormat="1" applyFont="1" applyFill="1" applyBorder="1" applyAlignment="1">
      <alignment horizontal="right" vertical="center"/>
    </xf>
    <xf fontId="11" fillId="10" borderId="64" numFmtId="0" xfId="0" applyFont="1" applyFill="1" applyBorder="1" applyAlignment="1">
      <alignment horizontal="center"/>
    </xf>
    <xf fontId="3" fillId="0" borderId="68" numFmtId="0" xfId="0" applyFont="1" applyBorder="1"/>
    <xf fontId="22" fillId="0" borderId="68" numFmtId="0" xfId="0" applyFont="1" applyBorder="1" applyAlignment="1">
      <alignment horizontal="justify"/>
    </xf>
    <xf fontId="22" fillId="0" borderId="65" numFmtId="0" xfId="0" applyFont="1" applyBorder="1" applyAlignment="1">
      <alignment horizontal="justify"/>
    </xf>
  </cellXfs>
  <cellStyles count="8">
    <cellStyle name="Hiperlink" xfId="1" builtinId="8"/>
    <cellStyle name="Moeda 3 2" xfId="2"/>
    <cellStyle name="Normal" xfId="0" builtinId="0"/>
    <cellStyle name="Porcentagem" xfId="3" builtinId="5"/>
    <cellStyle name="Vírgula" xfId="4" builtinId="3"/>
    <cellStyle name="Neutral" xfId="5" builtinId="28"/>
    <cellStyle name="Heading 1" xfId="6" builtinId="16"/>
    <cellStyle name="Input" xfId="7" builtinId="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7" Type="http://schemas.openxmlformats.org/officeDocument/2006/relationships/styles" Target="styles.xml"/><Relationship  Id="rId6" Type="http://schemas.openxmlformats.org/officeDocument/2006/relationships/sharedStrings" Target="sharedStrings.xml"/><Relationship  Id="rId5" Type="http://schemas.openxmlformats.org/officeDocument/2006/relationships/theme" Target="theme/theme1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/>
        <xdr:cNvPicPr>
          <a:picLocks noChangeAspect="1" noChangeArrowheads="1"/>
        </xdr:cNvPicPr>
      </xdr:nvPicPr>
      <xdr:blipFill>
        <a:blip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twoCell">
    <xdr:from>
      <xdr:col>0</xdr:col>
      <xdr:colOff>85725</xdr:colOff>
      <xdr:row>7</xdr:row>
      <xdr:rowOff>9525</xdr:rowOff>
    </xdr:from>
    <xdr:to>
      <xdr:col>0</xdr:col>
      <xdr:colOff>2124074</xdr:colOff>
      <xdr:row>9</xdr:row>
      <xdr:rowOff>57150</xdr:rowOff>
    </xdr:to>
    <xdr:pic>
      <xdr:nvPicPr>
        <xdr:cNvPr id="6507" name="Picture 1"/>
        <xdr:cNvPicPr>
          <a:picLocks noChangeAspect="1" noChangeArrowheads="1"/>
        </xdr:cNvPicPr>
      </xdr:nvPicPr>
      <xdr:blipFill>
        <a:blip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/>
      </xdr:blipFill>
      <xdr:spPr bwMode="auto">
        <a:xfrm>
          <a:off x="85725" y="885825"/>
          <a:ext cx="2038349" cy="3714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lauber Bridi" id="{0892E842-28C2-5FB6-8C4C-3C1FB9D5DB31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02" personId="{0892E842-28C2-5FB6-8C4C-3C1FB9D5DB31}" id="{001B0052-003E-4840-ADED-002D008E00CF}" done="0">
    <text xml:space="preserve">Informar a durabilidade estimada em meses, para cada EPI
</text>
  </threadedComment>
  <threadedComment ref="D102" personId="{0892E842-28C2-5FB6-8C4C-3C1FB9D5DB31}" id="{00680042-004E-400C-8401-00C3008B0024}" done="0">
    <text xml:space="preserve">Informar o valor unitário estimado para aquisição de cada EPI
</text>
  </threadedComment>
  <threadedComment ref="C103" personId="{0892E842-28C2-5FB6-8C4C-3C1FB9D5DB31}" id="{004900A8-0039-45AC-906D-002100DD0063}" done="0">
    <text xml:space="preserve">Informar a durabilidade estimada em meses, para cada EPI
</text>
  </threadedComment>
  <threadedComment ref="D103" personId="{0892E842-28C2-5FB6-8C4C-3C1FB9D5DB31}" id="{00C200AC-00C5-4A07-8E69-00B70088000B}" done="0">
    <text xml:space="preserve">Informar o valor unitário estimado para aquisição de cada EPI
</text>
  </threadedComment>
  <threadedComment ref="C104" personId="{0892E842-28C2-5FB6-8C4C-3C1FB9D5DB31}" id="{005B004D-001E-4E39-8E68-008700B6008E}" done="0">
    <text xml:space="preserve">Informar a durabilidade estimada em meses, para cada EPI
</text>
  </threadedComment>
  <threadedComment ref="D104" personId="{0892E842-28C2-5FB6-8C4C-3C1FB9D5DB31}" id="{00A300D9-0055-4814-A4A6-00AA003500D2}" done="0">
    <text xml:space="preserve">Informar o valor unitário estimado para aquisição de cada EPI
</text>
  </threadedComment>
  <threadedComment ref="C105" personId="{0892E842-28C2-5FB6-8C4C-3C1FB9D5DB31}" id="{00A80078-00DC-469A-A7A1-00C900F600B1}" done="0">
    <text xml:space="preserve">Informar a durabilidade estimada em meses, para cada EPI
</text>
  </threadedComment>
  <threadedComment ref="D105" personId="{0892E842-28C2-5FB6-8C4C-3C1FB9D5DB31}" id="{008100A2-000C-4683-BE9B-00A3008F007A}" done="0">
    <text xml:space="preserve">Informar o valor unitário estimado para aquisição de cada EPI
</text>
  </threadedComment>
  <threadedComment ref="C106" personId="{0892E842-28C2-5FB6-8C4C-3C1FB9D5DB31}" id="{00C500A4-009F-46BD-801D-008E00BA006E}" done="0">
    <text xml:space="preserve">Informar a durabilidade estimada em meses, para cada EPI
</text>
  </threadedComment>
  <threadedComment ref="D106" personId="{0892E842-28C2-5FB6-8C4C-3C1FB9D5DB31}" id="{00110020-0036-4CE7-A071-00EE00D40044}" done="0">
    <text xml:space="preserve">Informar o valor unitário estimado para aquisição de cada EPI
</text>
  </threadedComment>
  <threadedComment ref="C107" personId="{0892E842-28C2-5FB6-8C4C-3C1FB9D5DB31}" id="{00860089-00D5-49D6-B024-00C0005F00A5}" done="0">
    <text xml:space="preserve">Informar a durabilidade estimada em meses, para cada EPI
</text>
  </threadedComment>
  <threadedComment ref="D107" personId="{0892E842-28C2-5FB6-8C4C-3C1FB9D5DB31}" id="{004800AB-0062-4E10-AA89-0012008000B0}" done="0">
    <text xml:space="preserve">Informar o valor unitário estimado para aquisição de cada EPI
</text>
  </threadedComment>
  <threadedComment ref="C108" personId="{0892E842-28C2-5FB6-8C4C-3C1FB9D5DB31}" id="{00000021-0029-4E53-9439-008700820078}" done="0">
    <text xml:space="preserve">Informar a durabilidade estimada em meses, para cada EPI
</text>
  </threadedComment>
  <threadedComment ref="D108" personId="{0892E842-28C2-5FB6-8C4C-3C1FB9D5DB31}" id="{005B00DC-005B-480F-A98B-00D800510081}" done="0">
    <text xml:space="preserve">Informar o valor unitário estimado para aquisição de cada EPI
</text>
  </threadedComment>
  <threadedComment ref="C109" personId="{0892E842-28C2-5FB6-8C4C-3C1FB9D5DB31}" id="{00E40091-00FE-4D64-826C-0064009400C5}" done="0">
    <text xml:space="preserve">Informar a durabilidade estimada em meses, para cada EPI
</text>
  </threadedComment>
  <threadedComment ref="D109" personId="{0892E842-28C2-5FB6-8C4C-3C1FB9D5DB31}" id="{008700E7-004F-4333-BD1F-007100F7003A}" done="0">
    <text xml:space="preserve">Informar o valor unitário estimado para aquisição de cada EPI
</text>
  </threadedComment>
  <threadedComment ref="C110" personId="{0892E842-28C2-5FB6-8C4C-3C1FB9D5DB31}" id="{002300E6-00BE-4CBE-A9E2-00B600DF00DF}" done="0">
    <text xml:space="preserve">Informar a durabilidade estimada em meses, para cada EPI
</text>
  </threadedComment>
  <threadedComment ref="D110" personId="{0892E842-28C2-5FB6-8C4C-3C1FB9D5DB31}" id="{00E700FF-00FB-4BF6-A38A-006A00B800BB}" done="0">
    <text xml:space="preserve">Informar o valor unitário estimado para aquisição de cada EPI
</text>
  </threadedComment>
  <threadedComment ref="C115" personId="{0892E842-28C2-5FB6-8C4C-3C1FB9D5DB31}" id="{00810077-001A-4FFF-8B3A-0057001400C6}" done="0">
    <text xml:space="preserve">Informar a durabilidade estimada em meses, para cada EPI
</text>
  </threadedComment>
  <threadedComment ref="D115" personId="{0892E842-28C2-5FB6-8C4C-3C1FB9D5DB31}" id="{00A800E7-0012-49B0-96D2-005E00290070}" done="0">
    <text xml:space="preserve">Informar o valor unitário estimado para aquisição de cada EPI
</text>
  </threadedComment>
  <threadedComment ref="D116" personId="{0892E842-28C2-5FB6-8C4C-3C1FB9D5DB31}" id="{009300BC-0040-4017-AF7B-00F00051001B}" done="0">
    <text xml:space="preserve">Informar o valor mensal de higienização de uniforme para 1 funcionário
</text>
  </threadedComment>
  <threadedComment ref="D129" personId="{0892E842-28C2-5FB6-8C4C-3C1FB9D5DB31}" id="{007F00B7-00E1-44F3-A01E-0096008A009C}" done="0">
    <text xml:space="preserve">Informar o preço unitário do chassis do caminhão de coleta
</text>
  </threadedComment>
  <threadedComment ref="C130" personId="{0892E842-28C2-5FB6-8C4C-3C1FB9D5DB31}" id="{002C006E-009B-4938-93E9-006A00F400BD}" done="0">
    <text xml:space="preserve">Informar a vida útil estimada para o caminhão, em anos
</text>
  </threadedComment>
  <threadedComment ref="C131" personId="{0892E842-28C2-5FB6-8C4C-3C1FB9D5DB31}" id="{006000C9-00F5-418E-A4D1-009C005500BE}" done="0">
    <text xml:space="preserve">Na elaboração do orçamento-base da licitação, informar 0 (zero). Na proposta da licitante, informar a idade do veículo proposto.
</text>
  </threadedComment>
  <threadedComment ref="C132" personId="{0892E842-28C2-5FB6-8C4C-3C1FB9D5DB31}" id="{00640087-00DA-4AD2-BA0A-00EE009800CF}" done="0">
    <text xml:space="preserve">Informar o valor da depreciação do caminhão, adotando o valor sugerido pelo TCE ou outro valor estimado 
</text>
  </threadedComment>
  <threadedComment ref="D134" personId="{0892E842-28C2-5FB6-8C4C-3C1FB9D5DB31}" id="{008200B6-001B-4E94-B690-0038004A0098}" done="0">
    <text xml:space="preserve">Informar o preço unitário do equipamento compactador
</text>
  </threadedComment>
  <threadedComment ref="C135" personId="{0892E842-28C2-5FB6-8C4C-3C1FB9D5DB31}" id="{008D003E-00EA-4797-B7A1-00E5001C00B1}" done="0">
    <text xml:space="preserve">Informar a vida útil estimada para o compactador, em anos
</text>
  </threadedComment>
  <threadedComment ref="C136" personId="{0892E842-28C2-5FB6-8C4C-3C1FB9D5DB31}" id="{00590057-005F-4654-A340-00740063002A}" done="0">
    <text xml:space="preserve">Na elaboração do orçamento-base da licitação, informar 0 (zero). Na proposta da licitante, informar a idade do compactador proposto.
</text>
  </threadedComment>
  <threadedComment ref="C137" personId="{0892E842-28C2-5FB6-8C4C-3C1FB9D5DB31}" id="{003E000E-00F6-4578-86B5-00F8009B0005}" done="0">
    <text xml:space="preserve">Informar o valor da depreciação do compactador, adotando o valor sugerido pelo TCE ou outro valor estimado 
</text>
  </threadedComment>
  <threadedComment ref="C140" personId="{0892E842-28C2-5FB6-8C4C-3C1FB9D5DB31}" id="{009900C4-000F-4E61-8507-009800E000B7}" done="0">
    <text xml:space="preserve">Informar a quantidade de caminhões compactadores do respectivo modelo
</text>
  </threadedComment>
  <threadedComment ref="C146" personId="{0892E842-28C2-5FB6-8C4C-3C1FB9D5DB31}" id="{004B00AF-006D-4DA5-9589-0010007300AB}" done="0">
    <text xml:space="preserve">Informar a taxa de juros anual para remuneração do capital. Recomenda-se o uso da Taxa SELIC
</text>
  </threadedComment>
  <threadedComment ref="D162" personId="{0892E842-28C2-5FB6-8C4C-3C1FB9D5DB31}" id="{00380057-00B8-478B-924A-002E003C00BF}" done="0">
    <text xml:space="preserve">Informar o valor do seguro obrigatório e licenciamento anual de um caminhão
</text>
  </threadedComment>
  <threadedComment ref="D163" personId="{0892E842-28C2-5FB6-8C4C-3C1FB9D5DB31}" id="{00CA001A-00FB-4C90-96A4-0056004200C4}" done="0">
    <text xml:space="preserve">Informar o valor do seguro contra terceiros de um caminhão, se houver previsão no Projeto Básico
</text>
  </threadedComment>
  <threadedComment ref="B169" personId="{0892E842-28C2-5FB6-8C4C-3C1FB9D5DB31}" id="{006C00A9-0026-4DE3-ADAF-00FE00340002}" done="0">
    <text xml:space="preserve">Informar a quilometragem mensal percorrida, de acordo com o projeto básico
</text>
  </threadedComment>
  <threadedComment ref="C172" personId="{0892E842-28C2-5FB6-8C4C-3C1FB9D5DB31}" id="{000F0088-008D-41E9-90C9-003200E300B2}" done="0">
    <text xml:space="preserve">Informar o consumo estimado do veículo em km/l
</text>
  </threadedComment>
  <threadedComment ref="D172" personId="{0892E842-28C2-5FB6-8C4C-3C1FB9D5DB31}" id="{00A80092-0067-48BA-B618-001200C60082}" done="0">
    <text xml:space="preserve">Informar o preço unitário do combustivel
</text>
  </threadedComment>
  <threadedComment ref="C174" personId="{0892E842-28C2-5FB6-8C4C-3C1FB9D5DB31}" id="{00AF0073-0051-40A2-AF00-004F00750015}" done="0">
    <text xml:space="preserve">Informar o consumo de óleo do motor a cada 1000km
</text>
  </threadedComment>
  <threadedComment ref="D174" personId="{0892E842-28C2-5FB6-8C4C-3C1FB9D5DB31}" id="{00A2002C-00C8-4AA1-96AD-00B2002E0080}" done="0">
    <text xml:space="preserve">Informar o preço unitário do litro do óleo do motor
</text>
  </threadedComment>
  <threadedComment ref="C176" personId="{0892E842-28C2-5FB6-8C4C-3C1FB9D5DB31}" id="{00800093-00B2-4EEB-908C-0095005400CE}" done="0">
    <text xml:space="preserve">Informar o consumo de óleo da transmissão a cada 1000km
</text>
  </threadedComment>
  <threadedComment ref="D176" personId="{0892E842-28C2-5FB6-8C4C-3C1FB9D5DB31}" id="{004F00D0-00D6-4169-96D0-006700EA007D}" done="0">
    <text xml:space="preserve">Informar o preço unitário do litro do óleo da transmissão
</text>
  </threadedComment>
  <threadedComment ref="C178" personId="{0892E842-28C2-5FB6-8C4C-3C1FB9D5DB31}" id="{009600E1-0060-4636-98F0-002C001C00FE}" done="0">
    <text xml:space="preserve">Informar o consumo de óleo hidráulico a cada 1000km
</text>
  </threadedComment>
  <threadedComment ref="D178" personId="{0892E842-28C2-5FB6-8C4C-3C1FB9D5DB31}" id="{00E30017-005E-4623-AA28-00FB00B70039}" done="0">
    <text xml:space="preserve">Informar o preço unitário do litro do óleo hidráulico
</text>
  </threadedComment>
  <threadedComment ref="C180" personId="{0892E842-28C2-5FB6-8C4C-3C1FB9D5DB31}" id="{00470096-0045-4334-BFF6-007F00AC0007}" done="0">
    <text xml:space="preserve">Informar o consumo de graxa a cada 1000km
</text>
  </threadedComment>
  <threadedComment ref="D180" personId="{0892E842-28C2-5FB6-8C4C-3C1FB9D5DB31}" id="{00D500D9-006C-4D21-809A-0077009100B7}" done="0">
    <text xml:space="preserve">Informar o preço unitário do litro da graxa
</text>
  </threadedComment>
  <threadedComment ref="D187" personId="{0892E842-28C2-5FB6-8C4C-3C1FB9D5DB31}" id="{0027002C-008F-45D5-A19D-0036001F008A}" done="0">
    <text xml:space="preserve">Informar o custo de manutenção em R$/km rodado
</text>
  </threadedComment>
  <threadedComment ref="C192" personId="{0892E842-28C2-5FB6-8C4C-3C1FB9D5DB31}" id="{00D90030-004E-45F2-964A-002300B50036}" done="0">
    <text xml:space="preserve">Informar a quantidade de pneus novos de 1 caminhão
</text>
  </threadedComment>
  <threadedComment ref="D192" personId="{0892E842-28C2-5FB6-8C4C-3C1FB9D5DB31}" id="{000B005A-00AC-414B-8E2F-003900D40066}" done="0">
    <text xml:space="preserve">Informar o preço unitário de cada pneu
</text>
  </threadedComment>
  <threadedComment ref="C193" personId="{0892E842-28C2-5FB6-8C4C-3C1FB9D5DB31}" id="{00E30074-0091-4B68-839F-008800A10038}" done="0">
    <text xml:space="preserve">Informar o número de recapagens por pneu
</text>
  </threadedComment>
  <threadedComment ref="D194" personId="{0892E842-28C2-5FB6-8C4C-3C1FB9D5DB31}" id="{0009001B-0048-4C06-9A2F-00B2006600BE}" done="0">
    <text xml:space="preserve">Informar o preço unitário de cada recapagem
</text>
  </threadedComment>
  <threadedComment ref="C195" personId="{0892E842-28C2-5FB6-8C4C-3C1FB9D5DB31}" id="{002A0040-0002-4395-8D3C-00700012007E}" done="0">
    <text xml:space="preserve">Informar a durabilidade média dos pneus considerando todas as recapagens, em km
</text>
  </threadedComment>
  <threadedComment ref="D203" personId="{0892E842-28C2-5FB6-8C4C-3C1FB9D5DB31}" id="{007500A7-0051-4FB8-AE62-000B00B400F2}" done="0">
    <text xml:space="preserve">Informar o preço unitário do chassis do caminhão de coleta
</text>
  </threadedComment>
  <threadedComment ref="C204" personId="{0892E842-28C2-5FB6-8C4C-3C1FB9D5DB31}" id="{0021006B-00AD-4FC9-B407-00E300040009}" done="0">
    <text xml:space="preserve">Informar a vida útil estimada para o caminhão, em anos
</text>
  </threadedComment>
  <threadedComment ref="C205" personId="{0892E842-28C2-5FB6-8C4C-3C1FB9D5DB31}" id="{00E50077-00F3-4952-97CE-00EB00DA00A4}" done="0">
    <text xml:space="preserve">Na elaboração do orçamento-base da licitação, informar 0 (zero). Na proposta da licitante, informar a idade do veículo proposto.
</text>
  </threadedComment>
  <threadedComment ref="C206" personId="{0892E842-28C2-5FB6-8C4C-3C1FB9D5DB31}" id="{007E000E-00E0-4C94-8524-002B00B40019}" done="0">
    <text xml:space="preserve">Informar o valor da depreciação do caminhão, adotando o valor sugerido pelo TCE ou outro valor estimado 
</text>
  </threadedComment>
  <threadedComment ref="C209" personId="{0892E842-28C2-5FB6-8C4C-3C1FB9D5DB31}" id="{002D0045-009A-4904-97B7-003C003400B4}" done="0">
    <text xml:space="preserve">Informar a quantidade de caminhões compactadores do respectivo modelo
</text>
  </threadedComment>
  <threadedComment ref="C215" personId="{0892E842-28C2-5FB6-8C4C-3C1FB9D5DB31}" id="{00360084-0028-41C9-A9F8-00D000A00031}" done="0">
    <text xml:space="preserve">Informar a taxa de juros anual para remuneração do capital. Recomenda-se o uso da Taxa SELIC
</text>
  </threadedComment>
  <threadedComment ref="D226" personId="{0892E842-28C2-5FB6-8C4C-3C1FB9D5DB31}" id="{00620008-00F6-4240-B3A1-002800610043}" done="0">
    <text xml:space="preserve">Informar o valor do seguro obrigatório e licenciamento anual de um caminhão
</text>
  </threadedComment>
  <threadedComment ref="D227" personId="{0892E842-28C2-5FB6-8C4C-3C1FB9D5DB31}" id="{007E0064-0052-4278-B82A-009B00850010}" done="0">
    <text xml:space="preserve">Informar o valor do seguro contra terceiros de um caminhão, se houver previsão no Projeto Básico
</text>
  </threadedComment>
  <threadedComment ref="B233" personId="{0892E842-28C2-5FB6-8C4C-3C1FB9D5DB31}" id="{00DA00FB-00F1-4BB6-8553-0016003D00B2}" done="0">
    <text xml:space="preserve">Informar a quilometragem mensal percorrida, de acordo com o projeto básico
</text>
  </threadedComment>
  <threadedComment ref="C236" personId="{0892E842-28C2-5FB6-8C4C-3C1FB9D5DB31}" id="{00CB0088-006B-4CF2-819E-0096005F00B8}" done="0">
    <text xml:space="preserve">Informar o consumo estimado do veículo em km/l
</text>
  </threadedComment>
  <threadedComment ref="D236" personId="{0892E842-28C2-5FB6-8C4C-3C1FB9D5DB31}" id="{00290096-00BA-4F58-8AD1-00B000E400A3}" done="0">
    <text xml:space="preserve">Informar o preço unitário do combustivel
</text>
  </threadedComment>
  <threadedComment ref="C238" personId="{0892E842-28C2-5FB6-8C4C-3C1FB9D5DB31}" id="{00D10008-00BF-4AC8-A476-000A006B006A}" done="0">
    <text xml:space="preserve">Informar o consumo de óleo do motor a cada 1000km
</text>
  </threadedComment>
  <threadedComment ref="D238" personId="{0892E842-28C2-5FB6-8C4C-3C1FB9D5DB31}" id="{00240092-00BD-4A56-B660-00DF00B500F6}" done="0">
    <text xml:space="preserve">Informar o preço unitário do litro do óleo do motor
</text>
  </threadedComment>
  <threadedComment ref="C240" personId="{0892E842-28C2-5FB6-8C4C-3C1FB9D5DB31}" id="{0087003E-00DC-40CB-9B1C-007F002700A7}" done="0">
    <text xml:space="preserve">Informar o consumo de óleo da transmissão a cada 1000km
</text>
  </threadedComment>
  <threadedComment ref="D240" personId="{0892E842-28C2-5FB6-8C4C-3C1FB9D5DB31}" id="{00E100E9-00A7-4D22-BE85-00CC004C00CD}" done="0">
    <text xml:space="preserve">Informar o preço unitário do litro do óleo da transmissão
</text>
  </threadedComment>
  <threadedComment ref="C242" personId="{0892E842-28C2-5FB6-8C4C-3C1FB9D5DB31}" id="{002000C3-008F-4F0C-8C32-00BE0050002F}" done="0">
    <text xml:space="preserve">Informar o consumo de óleo hidráulico a cada 1000km
</text>
  </threadedComment>
  <threadedComment ref="D242" personId="{0892E842-28C2-5FB6-8C4C-3C1FB9D5DB31}" id="{00B500D3-0066-4B6D-AE04-00E000860088}" done="0">
    <text xml:space="preserve">Informar o preço unitário do litro do óleo hidráulico
</text>
  </threadedComment>
  <threadedComment ref="C244" personId="{0892E842-28C2-5FB6-8C4C-3C1FB9D5DB31}" id="{00130070-00E4-40DC-9A9E-00D100E20005}" done="0">
    <text xml:space="preserve">Informar o consumo de graxa a cada 1000km
</text>
  </threadedComment>
  <threadedComment ref="D244" personId="{0892E842-28C2-5FB6-8C4C-3C1FB9D5DB31}" id="{003300C8-0026-4C27-B3E5-00C4007F00C8}" done="0">
    <text xml:space="preserve">Informar o preço unitário do litro da graxa
</text>
  </threadedComment>
  <threadedComment ref="D251" personId="{0892E842-28C2-5FB6-8C4C-3C1FB9D5DB31}" id="{0013005D-0029-4CCD-B584-0000001B0068}" done="0">
    <text xml:space="preserve">Informar o custo de manutenção em R$/km rodado
</text>
  </threadedComment>
  <threadedComment ref="C256" personId="{0892E842-28C2-5FB6-8C4C-3C1FB9D5DB31}" id="{00320083-0054-4982-B36B-00610096006E}" done="0">
    <text xml:space="preserve">Informar a quantidade de pneus novos de 1 caminhão
</text>
  </threadedComment>
  <threadedComment ref="D256" personId="{0892E842-28C2-5FB6-8C4C-3C1FB9D5DB31}" id="{001600E4-00EC-44AE-A84B-00D5007700DA}" done="0">
    <text xml:space="preserve">Informar o preço unitário de cada pneu
</text>
  </threadedComment>
  <threadedComment ref="C257" personId="{0892E842-28C2-5FB6-8C4C-3C1FB9D5DB31}" id="{00C700FD-009D-40EE-941B-00E00067009C}" done="0">
    <text xml:space="preserve">Informar o número de recapagens por pneu
</text>
  </threadedComment>
  <threadedComment ref="D258" personId="{0892E842-28C2-5FB6-8C4C-3C1FB9D5DB31}" id="{0051009E-00F7-4591-AA94-001800B4001C}" done="0">
    <text xml:space="preserve">Informar o preço unitário de cada recapagem
</text>
  </threadedComment>
  <threadedComment ref="C259" personId="{0892E842-28C2-5FB6-8C4C-3C1FB9D5DB31}" id="{0046006D-00EE-431D-91B8-00AA00CF00B2}" done="0">
    <text xml:space="preserve">Informar a durabilidade média dos pneus considerando todas as recapagens, em km
</text>
  </threadedComment>
  <threadedComment ref="D267" personId="{0892E842-28C2-5FB6-8C4C-3C1FB9D5DB31}" id="{5BB0D8D3-AA89-216F-1A77-629CE0804233}" done="0">
    <text xml:space="preserve">Informar o preço unitário do chassis do caminhão de coleta
</text>
  </threadedComment>
  <threadedComment ref="C268" personId="{0892E842-28C2-5FB6-8C4C-3C1FB9D5DB31}" id="{B0837C2B-7999-3291-DB03-4594482E9CCA}" done="0">
    <text xml:space="preserve">Informar a vida útil estimada para o caminhão, em anos
</text>
  </threadedComment>
  <threadedComment ref="C269" personId="{0892E842-28C2-5FB6-8C4C-3C1FB9D5DB31}" id="{A56B8E54-02A5-A27F-35F8-3901A74CBCC4}" done="0">
    <text xml:space="preserve">Na elaboração do orçamento-base da licitação, informar 0 (zero). Na proposta da licitante, informar a idade do veículo proposto.
</text>
  </threadedComment>
  <threadedComment ref="C270" personId="{0892E842-28C2-5FB6-8C4C-3C1FB9D5DB31}" id="{DBEAEAEA-6221-561C-5810-860A91513704}" done="0">
    <text xml:space="preserve">Informar o valor da depreciação do caminhão, adotando o valor sugerido pelo TCE ou outro valor estimado 
</text>
  </threadedComment>
  <threadedComment ref="D272" personId="{0892E842-28C2-5FB6-8C4C-3C1FB9D5DB31}" id="{3038307A-E28A-E639-756F-D3EAB980354E}" done="0">
    <text xml:space="preserve">Informar o preço unitário do equipamento compactador
</text>
  </threadedComment>
  <threadedComment ref="C273" personId="{0892E842-28C2-5FB6-8C4C-3C1FB9D5DB31}" id="{E92CD941-00EC-CCF6-399B-92D8CC1D91BB}" done="0">
    <text xml:space="preserve">Informar a vida útil estimada para o compactador, em anos
</text>
  </threadedComment>
  <threadedComment ref="C274" personId="{0892E842-28C2-5FB6-8C4C-3C1FB9D5DB31}" id="{1A96DAA2-E3DE-256B-667A-9BBB78E782B0}" done="0">
    <text xml:space="preserve">Na elaboração do orçamento-base da licitação, informar 0 (zero). Na proposta da licitante, informar a idade do compactador proposto.
</text>
  </threadedComment>
  <threadedComment ref="C275" personId="{0892E842-28C2-5FB6-8C4C-3C1FB9D5DB31}" id="{F4CFDAD0-0242-70FC-F970-C3FC49180CD7}" done="0">
    <text xml:space="preserve">Informar o valor da depreciação do compactador, adotando o valor sugerido pelo TCE ou outro valor estimado 
</text>
  </threadedComment>
  <threadedComment ref="C278" personId="{0892E842-28C2-5FB6-8C4C-3C1FB9D5DB31}" id="{98431B0B-6051-53F6-D984-1AC76CA8930C}" done="0">
    <text xml:space="preserve">Informar a quantidade de caminhões compactadores do respectivo modelo
</text>
  </threadedComment>
  <threadedComment ref="C284" personId="{0892E842-28C2-5FB6-8C4C-3C1FB9D5DB31}" id="{916C5DB7-E23D-6D6D-4178-3287D9E5EF6B}" done="0">
    <text xml:space="preserve">Informar a taxa de juros anual para remuneração do capital. Recomenda-se o uso da Taxa SELIC
</text>
  </threadedComment>
  <threadedComment ref="D301" personId="{0892E842-28C2-5FB6-8C4C-3C1FB9D5DB31}" id="{E811216E-7880-8195-D234-DE23D0A04665}" done="0">
    <text xml:space="preserve">Informar o valor do seguro obrigatório e licenciamento anual de um caminhão
</text>
  </threadedComment>
  <threadedComment ref="D302" personId="{0892E842-28C2-5FB6-8C4C-3C1FB9D5DB31}" id="{A52E46BF-465D-5343-7664-8249DB13BD9E}" done="0">
    <text xml:space="preserve">Informar o valor do seguro contra terceiros de um caminhão, se houver previsão no Projeto Básico
</text>
  </threadedComment>
  <threadedComment ref="B308" personId="{0892E842-28C2-5FB6-8C4C-3C1FB9D5DB31}" id="{7BF2483B-88AE-619D-7054-101CC8323CC9}" done="0">
    <text xml:space="preserve">Informar a quilometragem mensal percorrida, de acordo com o projeto básico
</text>
  </threadedComment>
  <threadedComment ref="C311" personId="{0892E842-28C2-5FB6-8C4C-3C1FB9D5DB31}" id="{4B9B79FA-C51D-B7C0-2D36-8D864B4A851D}" done="0">
    <text xml:space="preserve">Informar o consumo estimado do veículo em km/l
</text>
  </threadedComment>
  <threadedComment ref="D311" personId="{0892E842-28C2-5FB6-8C4C-3C1FB9D5DB31}" id="{BC3E33D9-94F9-636A-480B-F4B4EBB89FAB}" done="0">
    <text xml:space="preserve">Informar o preço unitário do combustivel
</text>
  </threadedComment>
  <threadedComment ref="C313" personId="{0892E842-28C2-5FB6-8C4C-3C1FB9D5DB31}" id="{443D93D7-0CBC-4D64-3C95-91798535AF79}" done="0">
    <text xml:space="preserve">Informar o consumo de óleo do motor a cada 1000km
</text>
  </threadedComment>
  <threadedComment ref="D313" personId="{0892E842-28C2-5FB6-8C4C-3C1FB9D5DB31}" id="{2C5C94BA-AAA0-3022-FD43-FC9CA8993232}" done="0">
    <text xml:space="preserve">Informar o preço unitário do litro do óleo do motor
</text>
  </threadedComment>
  <threadedComment ref="C315" personId="{0892E842-28C2-5FB6-8C4C-3C1FB9D5DB31}" id="{4B8F5E4D-7F04-2EF8-55D6-099894E5547C}" done="0">
    <text xml:space="preserve">Informar o consumo de óleo da transmissão a cada 1000km
</text>
  </threadedComment>
  <threadedComment ref="D315" personId="{0892E842-28C2-5FB6-8C4C-3C1FB9D5DB31}" id="{CE3F2555-CBBE-51F0-80C3-C60DEC2C197E}" done="0">
    <text xml:space="preserve">Informar o preço unitário do litro do óleo da transmissão
</text>
  </threadedComment>
  <threadedComment ref="C317" personId="{0892E842-28C2-5FB6-8C4C-3C1FB9D5DB31}" id="{B4613377-8098-71C4-F7AE-498415898C87}" done="0">
    <text xml:space="preserve">Informar o consumo de óleo hidráulico a cada 1000km
</text>
  </threadedComment>
  <threadedComment ref="D317" personId="{0892E842-28C2-5FB6-8C4C-3C1FB9D5DB31}" id="{6F20F98B-BDCA-61CC-BC18-49D74445963A}" done="0">
    <text xml:space="preserve">Informar o preço unitário do litro do óleo hidráulico
</text>
  </threadedComment>
  <threadedComment ref="C319" personId="{0892E842-28C2-5FB6-8C4C-3C1FB9D5DB31}" id="{7BE46C44-977D-D983-9EA3-5550C0EF9AB7}" done="0">
    <text xml:space="preserve">Informar o consumo de graxa a cada 1000km
</text>
  </threadedComment>
  <threadedComment ref="D319" personId="{0892E842-28C2-5FB6-8C4C-3C1FB9D5DB31}" id="{E9248CA5-6CEB-D549-7E09-04F6E55ABB41}" done="0">
    <text xml:space="preserve">Informar o preço unitário do litro da graxa
</text>
  </threadedComment>
  <threadedComment ref="D326" personId="{0892E842-28C2-5FB6-8C4C-3C1FB9D5DB31}" id="{244BB56B-E9FB-E621-E413-B3D1DBE48DCF}" done="0">
    <text xml:space="preserve">Informar o custo de manutenção em R$/km rodado
</text>
  </threadedComment>
  <threadedComment ref="C331" personId="{0892E842-28C2-5FB6-8C4C-3C1FB9D5DB31}" id="{674A77DF-5C43-A999-6F0A-EBF203EDC7BE}" done="0">
    <text xml:space="preserve">Informar a quantidade de pneus novos de 1 caminhão
</text>
  </threadedComment>
  <threadedComment ref="D331" personId="{0892E842-28C2-5FB6-8C4C-3C1FB9D5DB31}" id="{64F4A0D6-8E59-28A1-CAD5-94E64F0E7D69}" done="0">
    <text xml:space="preserve">Informar o preço unitário de cada pneu
</text>
  </threadedComment>
  <threadedComment ref="C332" personId="{0892E842-28C2-5FB6-8C4C-3C1FB9D5DB31}" id="{E49A98E3-E770-FC8A-DFC2-05E584A6E7C0}" done="0">
    <text xml:space="preserve">Informar o número de recapagens por pneu
</text>
  </threadedComment>
  <threadedComment ref="D333" personId="{0892E842-28C2-5FB6-8C4C-3C1FB9D5DB31}" id="{F258FCF9-0498-3CF4-344A-5E201E82CF56}" done="0">
    <text xml:space="preserve">Informar o preço unitário de cada recapagem
</text>
  </threadedComment>
  <threadedComment ref="C334" personId="{0892E842-28C2-5FB6-8C4C-3C1FB9D5DB31}" id="{1D80ACE8-073B-DBFA-5DDC-F600A1A7420C}" done="0">
    <text xml:space="preserve">Informar a durabilidade média dos pneus considerando todas as recapagens, em km
</text>
  </threadedComment>
  <threadedComment ref="C343" personId="{0892E842-28C2-5FB6-8C4C-3C1FB9D5DB31}" id="{00390063-005A-47C8-B04A-00D300CE002E}" done="0">
    <text xml:space="preserve">Informar a quantidade estimada por mês. Por exemplo, se a durabilidade estimada é de 6 meses, informar 1/6; se a durabilidade estimada é de 3 meses informar 1/3, etc..
</text>
  </threadedComment>
  <threadedComment ref="D343" personId="{0892E842-28C2-5FB6-8C4C-3C1FB9D5DB31}" id="{0044004E-0075-43FF-8C4B-006800EB0052}" done="0">
    <text xml:space="preserve">Informar o valor unitário estimado para aquisição de cada material
</text>
  </threadedComment>
  <threadedComment ref="C344" personId="{0892E842-28C2-5FB6-8C4C-3C1FB9D5DB31}" id="{0083004E-0060-4EE3-B98B-004E00030053}" done="0">
    <text xml:space="preserve">Informar a quantidade estimada por mês. Por exemplo, se a durabilidade estimada é de 6 meses, informar 1/6; se a durabilidade estimada é de 3 meses informar 1/3, etc..
</text>
  </threadedComment>
  <threadedComment ref="D344" personId="{0892E842-28C2-5FB6-8C4C-3C1FB9D5DB31}" id="{00970058-009E-4AC6-9817-00020017005C}" done="0">
    <text xml:space="preserve">Informar o valor unitário estimado para aquisição de cada material
</text>
  </threadedComment>
  <threadedComment ref="C345" personId="{0892E842-28C2-5FB6-8C4C-3C1FB9D5DB31}" id="{002400B5-0097-49B2-A2C3-001300CF000A}" done="0">
    <text xml:space="preserve">Informar a quantidade estimada por mês. Por exemplo, se a durabilidade estimada é de 6 meses, informar 1/6; se a durabilidade estimada é de 3 meses informar 1/3, etc..
</text>
  </threadedComment>
  <threadedComment ref="D345" personId="{0892E842-28C2-5FB6-8C4C-3C1FB9D5DB31}" id="{00530084-0017-41E3-8DA3-00A300F200F1}" done="0">
    <text xml:space="preserve">Informar o valor unitário estimado para aquisição de cada material
</text>
  </threadedComment>
  <threadedComment ref="C365" personId="{0892E842-28C2-5FB6-8C4C-3C1FB9D5DB31}" id="{00500034-00CC-4248-B492-00EA00EF0015}" done="0">
    <text xml:space="preserve">Informar a quantidade estimada por mês. Por exemplo, se a durabilidade estimada é de 6 meses, informar 1/6; se a durabilidade estimada é de 3 meses informar 1/3, etc..
</text>
  </threadedComment>
  <threadedComment ref="D365" personId="{0892E842-28C2-5FB6-8C4C-3C1FB9D5DB31}" id="{00CD000B-00CC-4706-99B0-00B300580072}" done="0">
    <text xml:space="preserve">Informar o valor unitário estimado para aquisição de cada material
</text>
  </threadedComment>
  <threadedComment ref="C366" personId="{0892E842-28C2-5FB6-8C4C-3C1FB9D5DB31}" id="{007E00A2-000C-4DF5-B3DF-00DC00620075}" done="0">
    <text xml:space="preserve">Informar a quantidade estimada por mês. Por exemplo, se a durabilidade estimada é de 6 meses, informar 1/6; se a durabilidade estimada é de 3 meses informar 1/3, etc..
</text>
  </threadedComment>
  <threadedComment ref="D366" personId="{0892E842-28C2-5FB6-8C4C-3C1FB9D5DB31}" id="{009B0067-00E9-4B21-8D45-00DA00660081}" done="0">
    <text xml:space="preserve">Informar o valor unitário estimado para aquisição de cada material
</text>
  </threadedComment>
  <threadedComment ref="A371" personId="{0892E842-28C2-5FB6-8C4C-3C1FB9D5DB31}" id="{00610019-00A3-4D4A-B1CD-00330062006B}" done="0">
    <text xml:space="preserve">Especificar somente quando for exigido no Projeto Básico
</text>
  </threadedComment>
  <threadedComment ref="D374" personId="{0892E842-28C2-5FB6-8C4C-3C1FB9D5DB31}" id="{0091004F-00DE-4264-ADA8-0003007900FE}" done="0">
    <text xml:space="preserve">Informar o valor total para instalação do equipamento de monitoramento da frota, se houver previsão no Projeto Básico
</text>
  </threadedComment>
  <threadedComment ref="D376" personId="{0892E842-28C2-5FB6-8C4C-3C1FB9D5DB31}" id="{00EF00F2-0020-4C18-9BC4-0078006F0078}" done="0">
    <text xml:space="preserve">Informar o valor unitário mensal para manutenção dos equipamentos de monitoramento
</text>
  </threadedComment>
  <threadedComment ref="C387" personId="{0892E842-28C2-5FB6-8C4C-3C1FB9D5DB31}" id="{00C500BE-0055-4441-845C-0055002E000B}" done="0">
    <text xml:space="preserve">Preencher a aba 4.BDI
</text>
  </threadedComment>
  <threadedComment ref="B55" personId="{0892E842-28C2-5FB6-8C4C-3C1FB9D5DB31}" id="{005D00C5-004E-4170-8B68-00720044005C}" done="0">
    <text xml:space="preserve">Informar o fator de utilização das equipes de coleta. 
Por exemplo:
Equipes com utilização integral = 100%
Equipes com utilização parcial = n° horas trabalhadas por semana /44 horas
</text>
  </threadedComment>
  <threadedComment ref="A7" personId="{0892E842-28C2-5FB6-8C4C-3C1FB9D5DB31}" id="{00ED0000-0033-4442-9F8B-00F0007B00F1}" done="0">
    <text xml:space="preserve">Qualquer custo previsto no edital e não contemplado nesta planilha modelo deverá ser devidamente incluído
</text>
  </threadedComment>
  <threadedComment ref="D61" personId="{0892E842-28C2-5FB6-8C4C-3C1FB9D5DB31}" id="{008B00EC-003D-4B69-AF28-003B00620007}" done="0">
    <text xml:space="preserve">Informar o Piso da categoria fixado na Convenção Coletiva
</text>
  </threadedComment>
  <threadedComment ref="C64" personId="{0892E842-28C2-5FB6-8C4C-3C1FB9D5DB31}" id="{0021006C-003A-4FA3-969E-002D00DE001A}" done="0">
    <text xml:space="preserve">Preencher a planilha Encargos Sociais e CAGED 
</text>
  </threadedComment>
  <threadedComment ref="C66" personId="{0892E842-28C2-5FB6-8C4C-3C1FB9D5DB31}" id="{00780053-00C2-45CC-B010-005C00320095}" done="0">
    <text xml:space="preserve">Informar a quantidade de trabalhadores na função
</text>
  </threadedComment>
  <threadedComment ref="C74" personId="{0892E842-28C2-5FB6-8C4C-3C1FB9D5DB31}" id="{006200AA-0051-449B-BD59-00A200FB0096}" done="0">
    <text xml:space="preserve">Preencher a planilha Encargos Sociais e CAGED 
</text>
  </threadedComment>
  <threadedComment ref="C76" personId="{0892E842-28C2-5FB6-8C4C-3C1FB9D5DB31}" id="{00B900DA-00C4-481F-A492-004400970063}" done="0">
    <text xml:space="preserve">Informar a quantidade de trabalhadores na função
</text>
  </threadedComment>
  <threadedComment ref="D82" personId="{0892E842-28C2-5FB6-8C4C-3C1FB9D5DB31}" id="{005D00EC-0098-4C49-9189-0037005A002A}" done="0">
    <text xml:space="preserve">Informar o valor unitário do VT no município
</text>
  </threadedComment>
  <threadedComment ref="C83" personId="{0892E842-28C2-5FB6-8C4C-3C1FB9D5DB31}" id="{00B90092-00BB-4F49-905A-00F200F00031}" done="0">
    <text xml:space="preserve">Informar o número médio de dias trabalhados por mês
</text>
  </threadedComment>
  <threadedComment ref="D84" personId="{0892E842-28C2-5FB6-8C4C-3C1FB9D5DB31}" id="{00BE0051-0082-4485-BB64-0082002C00B2}" done="0">
    <text xml:space="preserve">Valor Unitário considerando o desconto legal de até 6% do salário
</text>
  </threadedComment>
  <threadedComment ref="D89" personId="{0892E842-28C2-5FB6-8C4C-3C1FB9D5DB31}" id="{00620002-0025-4913-89C8-00040082005B}" done="0">
    <text xml:space="preserve">Informar o valor unitário diário do vale refeição, considerando o desconto aplicável ao funcionário, conforme Convenção Coletiva da categoria.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_rels/sheet3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J313" activeCellId="0" sqref="J313"/>
    </sheetView>
  </sheetViews>
  <sheetFormatPr defaultRowHeight="12.75"/>
  <cols>
    <col customWidth="1" min="1" max="1" style="1" width="49.5703125"/>
    <col bestFit="1" customWidth="1" min="2" max="2" style="1" width="16"/>
    <col customWidth="1" min="3" max="3" style="1" width="11.85546875"/>
    <col customWidth="1" min="4" max="4" style="2" width="14.7109375"/>
    <col customWidth="1" min="5" max="5" style="2" width="15.42578125"/>
    <col customWidth="1" min="6" max="6" style="2" width="13.28515625"/>
    <col customWidth="1" min="7" max="7" style="2" width="28.140625"/>
    <col min="8" max="8" style="1" width="9.140625"/>
    <col customWidth="1" min="9" max="9" style="1" width="14.5703125"/>
    <col customWidth="1" min="10" max="10" style="1" width="13.42578125"/>
    <col min="11" max="16384" style="1" width="9.140625"/>
  </cols>
  <sheetData>
    <row r="1" ht="19.5">
      <c r="A1" s="3" t="s">
        <v>0</v>
      </c>
      <c r="B1" s="4"/>
      <c r="C1" s="4"/>
      <c r="D1" s="4"/>
      <c r="E1" s="4"/>
      <c r="F1" s="5"/>
      <c r="G1" s="6"/>
    </row>
    <row r="2" ht="23.25" customHeight="1">
      <c r="A2" s="7" t="s">
        <v>1</v>
      </c>
      <c r="B2" s="8"/>
      <c r="C2" s="8"/>
      <c r="D2" s="8"/>
      <c r="E2" s="8"/>
      <c r="F2" s="9"/>
    </row>
    <row r="3" ht="23.25" customHeight="1">
      <c r="A3" s="10" t="s">
        <v>2</v>
      </c>
      <c r="B3" s="11"/>
      <c r="C3" s="11"/>
      <c r="D3" s="11"/>
      <c r="E3" s="11"/>
      <c r="F3" s="12"/>
    </row>
    <row r="4" s="13" customFormat="1" ht="16.5">
      <c r="A4" s="14" t="s">
        <v>3</v>
      </c>
      <c r="B4" s="15"/>
      <c r="C4" s="15"/>
      <c r="D4" s="15"/>
      <c r="E4" s="15"/>
      <c r="F4" s="16"/>
      <c r="G4" s="17"/>
    </row>
    <row r="5" s="13" customFormat="1" ht="21.75" customHeight="1">
      <c r="A5" s="18" t="s">
        <v>4</v>
      </c>
      <c r="B5" s="19"/>
      <c r="C5" s="19"/>
      <c r="D5" s="19"/>
      <c r="E5" s="19"/>
      <c r="F5" s="20"/>
      <c r="G5" s="21"/>
    </row>
    <row r="6" s="17" customFormat="1" ht="10.9" customHeight="1">
      <c r="A6" s="22"/>
      <c r="B6" s="23"/>
      <c r="C6" s="23"/>
      <c r="D6" s="24"/>
      <c r="E6" s="24"/>
      <c r="F6" s="25"/>
      <c r="G6" s="24"/>
    </row>
    <row r="7" s="17" customFormat="1" ht="15.75" customHeight="1">
      <c r="A7" s="26" t="s">
        <v>5</v>
      </c>
      <c r="B7" s="27"/>
      <c r="C7" s="27"/>
      <c r="D7" s="27"/>
      <c r="E7" s="27"/>
      <c r="F7" s="28"/>
      <c r="G7" s="24"/>
    </row>
    <row r="8" s="17" customFormat="1" ht="15.75" customHeight="1">
      <c r="A8" s="29" t="s">
        <v>6</v>
      </c>
      <c r="B8" s="30"/>
      <c r="C8" s="30"/>
      <c r="D8" s="31"/>
      <c r="E8" s="32" t="s">
        <v>7</v>
      </c>
      <c r="F8" s="33" t="s">
        <v>8</v>
      </c>
      <c r="G8" s="24"/>
    </row>
    <row r="9" s="34" customFormat="1" ht="15.75" customHeight="1">
      <c r="A9" s="35" t="str">
        <f>A57</f>
        <v xml:space="preserve">1. Mão-de-obra</v>
      </c>
      <c r="B9" s="36"/>
      <c r="C9" s="37"/>
      <c r="D9" s="37"/>
      <c r="E9" s="38">
        <f>+F95</f>
        <v>230372.46161280002</v>
      </c>
      <c r="F9" s="39">
        <f>IFERROR(E9/$E$40,0)</f>
        <v>0.60549457094428782</v>
      </c>
      <c r="G9" s="40"/>
    </row>
    <row r="10" s="17" customFormat="1" ht="15.75" customHeight="1">
      <c r="A10" s="41" t="s">
        <v>9</v>
      </c>
      <c r="B10" s="42"/>
      <c r="C10" s="43"/>
      <c r="D10" s="43"/>
      <c r="E10" s="44">
        <f>F67</f>
        <v>26192.532499200002</v>
      </c>
      <c r="F10" s="45">
        <f t="shared" ref="F10:F22" si="0">IFERROR(E10/$E$40,0)</f>
        <v>6.8842586985085344e-002</v>
      </c>
      <c r="G10" s="24"/>
    </row>
    <row r="11" s="17" customFormat="1" ht="15.75" customHeight="1">
      <c r="A11" s="41" t="s">
        <v>10</v>
      </c>
      <c r="B11" s="42"/>
      <c r="C11" s="43"/>
      <c r="D11" s="43"/>
      <c r="E11" s="44">
        <f>F77</f>
        <v>169011.96111360003</v>
      </c>
      <c r="F11" s="45">
        <f t="shared" si="0"/>
        <v>0.44421900153558069</v>
      </c>
      <c r="G11" s="24"/>
    </row>
    <row r="12" s="17" customFormat="1" ht="15.75" customHeight="1">
      <c r="A12" s="41" t="str">
        <f>A80</f>
        <v xml:space="preserve">1.5. Vale Transporte</v>
      </c>
      <c r="B12" s="42"/>
      <c r="C12" s="43"/>
      <c r="D12" s="43"/>
      <c r="E12" s="44">
        <f>F85</f>
        <v>5797.4400000000005</v>
      </c>
      <c r="F12" s="45">
        <f t="shared" si="0"/>
        <v>1.52375784015159e-002</v>
      </c>
      <c r="G12" s="24"/>
    </row>
    <row r="13" s="17" customFormat="1" ht="15.75" customHeight="1">
      <c r="A13" s="41" t="str">
        <f>A87</f>
        <v xml:space="preserve">1.6. Vale-refeição (diário)</v>
      </c>
      <c r="B13" s="42"/>
      <c r="C13" s="43"/>
      <c r="D13" s="43"/>
      <c r="E13" s="44">
        <f>F92</f>
        <v>29370.528000000002</v>
      </c>
      <c r="F13" s="45">
        <f t="shared" si="0"/>
        <v>7.7195404022105965e-002</v>
      </c>
      <c r="G13" s="24"/>
    </row>
    <row r="14" s="34" customFormat="1" ht="15.75" customHeight="1">
      <c r="A14" s="46" t="str">
        <f>A97</f>
        <v xml:space="preserve">2. Uniformes e Equipamentos de Proteção Individual</v>
      </c>
      <c r="B14" s="47"/>
      <c r="C14" s="47"/>
      <c r="D14" s="37"/>
      <c r="E14" s="38">
        <f>+F121</f>
        <v>11376</v>
      </c>
      <c r="F14" s="39">
        <f t="shared" si="0"/>
        <v>2.9899868199695877e-002</v>
      </c>
      <c r="G14" s="40"/>
    </row>
    <row r="15" s="34" customFormat="1" ht="15.75" customHeight="1">
      <c r="A15" s="46" t="str">
        <f>A123</f>
        <v xml:space="preserve">3. Veículos e Equipamentos</v>
      </c>
      <c r="B15" s="48"/>
      <c r="C15" s="37"/>
      <c r="D15" s="37"/>
      <c r="E15" s="38">
        <f>+F338</f>
        <v>28731.991406369048</v>
      </c>
      <c r="F15" s="39">
        <f t="shared" si="0"/>
        <v>7.5517119916071476e-002</v>
      </c>
      <c r="G15" s="40"/>
      <c r="H15" s="49"/>
    </row>
    <row r="16" s="17" customFormat="1" ht="15.75" customHeight="1">
      <c r="A16" s="50" t="str">
        <f>A125</f>
        <v xml:space="preserve">3.1. Veículo Caminhão</v>
      </c>
      <c r="B16" s="51"/>
      <c r="C16" s="43"/>
      <c r="D16" s="43"/>
      <c r="E16" s="52">
        <f>SUM(E17:E22)</f>
        <v>13354.870790000003</v>
      </c>
      <c r="F16" s="53">
        <f t="shared" si="0"/>
        <v>3.5100991248678659e-002</v>
      </c>
      <c r="G16" s="24"/>
    </row>
    <row r="17" s="17" customFormat="1" ht="15.75" customHeight="1">
      <c r="A17" s="54" t="str">
        <f>A127</f>
        <v xml:space="preserve">3.1.1. Depreciação</v>
      </c>
      <c r="B17" s="51"/>
      <c r="C17" s="43"/>
      <c r="D17" s="43"/>
      <c r="E17" s="44">
        <f>F141</f>
        <v>3259.0000000000009</v>
      </c>
      <c r="F17" s="55">
        <f t="shared" si="0"/>
        <v>8.5657234935661818e-003</v>
      </c>
      <c r="G17" s="24"/>
    </row>
    <row r="18" s="17" customFormat="1" ht="15.75" customHeight="1">
      <c r="A18" s="54" t="str">
        <f>A143</f>
        <v xml:space="preserve">3.1.2. Remuneração do Capital</v>
      </c>
      <c r="B18" s="51"/>
      <c r="C18" s="43"/>
      <c r="D18" s="43"/>
      <c r="E18" s="44">
        <f>F157</f>
        <v>4858.4937499999996</v>
      </c>
      <c r="F18" s="55">
        <f t="shared" si="0"/>
        <v>1.2769718949898572e-002</v>
      </c>
      <c r="G18" s="24"/>
    </row>
    <row r="19" s="17" customFormat="1" ht="15.75" customHeight="1">
      <c r="A19" s="54" t="str">
        <f>A159</f>
        <v xml:space="preserve">3.1.3. Impostos e Seguros</v>
      </c>
      <c r="B19" s="51"/>
      <c r="C19" s="43"/>
      <c r="D19" s="43"/>
      <c r="E19" s="44">
        <f>F165</f>
        <v>1325</v>
      </c>
      <c r="F19" s="55">
        <f t="shared" si="0"/>
        <v>3.4825356333154922e-003</v>
      </c>
      <c r="G19" s="24"/>
    </row>
    <row r="20" s="17" customFormat="1" ht="15.75" customHeight="1">
      <c r="A20" s="54" t="str">
        <f>A167</f>
        <v xml:space="preserve">3.1.4. Consumos</v>
      </c>
      <c r="B20" s="51"/>
      <c r="C20" s="43"/>
      <c r="D20" s="43"/>
      <c r="E20" s="44">
        <f>F183</f>
        <v>1834.1690400000002</v>
      </c>
      <c r="F20" s="55">
        <f t="shared" si="0"/>
        <v>4.8207992749615611e-003</v>
      </c>
      <c r="G20" s="24"/>
    </row>
    <row r="21" s="17" customFormat="1" ht="15.75" customHeight="1">
      <c r="A21" s="54" t="str">
        <f>A185</f>
        <v xml:space="preserve">3.1.5. Manutenção</v>
      </c>
      <c r="B21" s="51"/>
      <c r="C21" s="43"/>
      <c r="D21" s="43"/>
      <c r="E21" s="44">
        <f>F188</f>
        <v>1584</v>
      </c>
      <c r="F21" s="55">
        <f t="shared" si="0"/>
        <v>4.1632727872994262e-003</v>
      </c>
      <c r="G21" s="24"/>
    </row>
    <row r="22" s="17" customFormat="1" ht="15.75" customHeight="1">
      <c r="A22" s="54" t="str">
        <f>A190</f>
        <v xml:space="preserve">3.1.6. Pneus</v>
      </c>
      <c r="B22" s="51"/>
      <c r="C22" s="43"/>
      <c r="D22" s="43"/>
      <c r="E22" s="44">
        <f>F197</f>
        <v>494.20800000000003</v>
      </c>
      <c r="F22" s="55">
        <f t="shared" si="0"/>
        <v>1.298941109637421e-003</v>
      </c>
      <c r="G22" s="24"/>
    </row>
    <row r="23" s="17" customFormat="1" ht="15.75" customHeight="1">
      <c r="A23" s="50" t="str">
        <f>A199</f>
        <v xml:space="preserve">3.2. Veículo  para transporte de servidores, equipamentos e materiais</v>
      </c>
      <c r="B23" s="56"/>
      <c r="C23" s="43"/>
      <c r="D23" s="43"/>
      <c r="E23" s="52">
        <f>E24+E25+E26+E27+E28+E29</f>
        <v>7734.3109124999992</v>
      </c>
      <c r="F23" s="53">
        <f>E23/E40</f>
        <v>2.0328311963714797e-002</v>
      </c>
      <c r="G23" s="24"/>
    </row>
    <row r="24" s="17" customFormat="1" ht="15.75" customHeight="1">
      <c r="A24" s="54" t="str">
        <f>A201</f>
        <v>3.2.1.Depreciação</v>
      </c>
      <c r="B24" s="51"/>
      <c r="C24" s="43"/>
      <c r="D24" s="43"/>
      <c r="E24" s="44">
        <f>F210</f>
        <v>1575.1800000000001</v>
      </c>
      <c r="F24" s="55">
        <f>E24/E40</f>
        <v>4.1400909274610541e-003</v>
      </c>
      <c r="G24" s="24"/>
    </row>
    <row r="25" s="17" customFormat="1" ht="15.75" customHeight="1">
      <c r="A25" s="54" t="str">
        <f>A212</f>
        <v xml:space="preserve">3.2.2. Remuneração do Capital</v>
      </c>
      <c r="B25" s="51"/>
      <c r="C25" s="43"/>
      <c r="D25" s="43"/>
      <c r="E25" s="44">
        <f>F221</f>
        <v>2348.2719791666664</v>
      </c>
      <c r="F25" s="55">
        <f>E25/E40</f>
        <v>6.1720308257843101e-003</v>
      </c>
      <c r="G25" s="24"/>
    </row>
    <row r="26" s="17" customFormat="1" ht="15.75" customHeight="1">
      <c r="A26" s="54" t="str">
        <f>A223</f>
        <v xml:space="preserve">3.2.3. Impostos e Seguros</v>
      </c>
      <c r="B26" s="51"/>
      <c r="C26" s="43"/>
      <c r="D26" s="43"/>
      <c r="E26" s="44">
        <f>F229</f>
        <v>765</v>
      </c>
      <c r="F26" s="55">
        <f>E26/E40</f>
        <v>2.0106715165934728e-003</v>
      </c>
      <c r="G26" s="24"/>
    </row>
    <row r="27" s="17" customFormat="1" ht="15.75" customHeight="1">
      <c r="A27" s="54" t="str">
        <f>A231</f>
        <v xml:space="preserve">3.2.4. Consumos</v>
      </c>
      <c r="B27" s="51"/>
      <c r="C27" s="43"/>
      <c r="D27" s="43"/>
      <c r="E27" s="44">
        <f>F247</f>
        <v>1373.8589333333334</v>
      </c>
      <c r="F27" s="55">
        <f>E27/E40</f>
        <v>3.6109529739487898e-003</v>
      </c>
      <c r="G27" s="24"/>
    </row>
    <row r="28" s="17" customFormat="1" ht="15.75" customHeight="1">
      <c r="A28" s="54" t="str">
        <f>A185</f>
        <v xml:space="preserve">3.1.5. Manutenção</v>
      </c>
      <c r="B28" s="51"/>
      <c r="C28" s="43"/>
      <c r="D28" s="43"/>
      <c r="E28" s="44">
        <f>F252</f>
        <v>1355.2</v>
      </c>
      <c r="F28" s="55">
        <f>E28/E40</f>
        <v>3.5619111624672867e-003</v>
      </c>
      <c r="G28" s="24"/>
    </row>
    <row r="29" s="17" customFormat="1" ht="15.75" customHeight="1">
      <c r="A29" s="54" t="str">
        <f>A254</f>
        <v xml:space="preserve">3.2.6. Pneus</v>
      </c>
      <c r="B29" s="51"/>
      <c r="C29" s="43"/>
      <c r="D29" s="43"/>
      <c r="E29" s="44">
        <f>F261</f>
        <v>316.80000000000001</v>
      </c>
      <c r="F29" s="55">
        <f>E29/E40</f>
        <v>8.3265455745988517e-004</v>
      </c>
      <c r="G29" s="24"/>
    </row>
    <row r="30" s="17" customFormat="1" ht="15.75" customHeight="1">
      <c r="A30" s="50" t="str">
        <f>A263</f>
        <v xml:space="preserve">3.3. Trator + implementos</v>
      </c>
      <c r="B30" s="51"/>
      <c r="C30" s="43"/>
      <c r="D30" s="43"/>
      <c r="E30" s="52">
        <f>E31+E32+E33+E34+E35+E36</f>
        <v>7642.8097038690485</v>
      </c>
      <c r="F30" s="53">
        <f>E30/E40</f>
        <v>2.0087816703678027e-002</v>
      </c>
      <c r="G30" s="24"/>
    </row>
    <row r="31" s="17" customFormat="1" ht="15.75" customHeight="1">
      <c r="A31" s="54" t="str">
        <f>A265</f>
        <v xml:space="preserve">3.3.1 Depreciação</v>
      </c>
      <c r="B31" s="51"/>
      <c r="C31" s="43"/>
      <c r="D31" s="43"/>
      <c r="E31" s="44">
        <f>F279</f>
        <v>1439.3916666666669</v>
      </c>
      <c r="F31" s="55">
        <f>E31/E40</f>
        <v>3.7831945429917298e-003</v>
      </c>
      <c r="G31" s="24"/>
    </row>
    <row r="32" s="17" customFormat="1" ht="15.75" customHeight="1">
      <c r="A32" s="54" t="str">
        <f>A281</f>
        <v xml:space="preserve">3.3.2 Remuneração do Capital</v>
      </c>
      <c r="B32" s="51"/>
      <c r="C32" s="43"/>
      <c r="D32" s="43"/>
      <c r="E32" s="44">
        <f>F295</f>
        <v>2145.8347395833334</v>
      </c>
      <c r="F32" s="55">
        <f>E32/E40</f>
        <v>5.6399592028718703e-003</v>
      </c>
      <c r="G32" s="24"/>
    </row>
    <row r="33" s="17" customFormat="1" ht="15.75" customHeight="1">
      <c r="A33" s="54" t="str">
        <f>A298</f>
        <v xml:space="preserve">3.3.3. Impostos e Seguros</v>
      </c>
      <c r="B33" s="51"/>
      <c r="C33" s="43"/>
      <c r="D33" s="43"/>
      <c r="E33" s="44">
        <f>F304</f>
        <v>608.33333333333337</v>
      </c>
      <c r="F33" s="55">
        <f>E33/E40</f>
        <v>1.5989000077486222e-003</v>
      </c>
      <c r="G33" s="24"/>
    </row>
    <row r="34" s="17" customFormat="1" ht="15.75" customHeight="1">
      <c r="A34" s="54" t="str">
        <f>A306</f>
        <v xml:space="preserve">3.3.4. Consumos</v>
      </c>
      <c r="B34" s="51"/>
      <c r="C34" s="43"/>
      <c r="D34" s="43"/>
      <c r="E34" s="44">
        <f>F322</f>
        <v>1259.4642500000002</v>
      </c>
      <c r="F34" s="55">
        <f>E34/E40</f>
        <v>3.3102861354807334e-003</v>
      </c>
      <c r="G34" s="24"/>
    </row>
    <row r="35" s="17" customFormat="1" ht="15.75" customHeight="1">
      <c r="A35" s="54" t="str">
        <f>A324</f>
        <v xml:space="preserve">3.3.5. Manutenção</v>
      </c>
      <c r="B35" s="51"/>
      <c r="C35" s="43"/>
      <c r="D35" s="43"/>
      <c r="E35" s="44">
        <f>F327</f>
        <v>1787.5</v>
      </c>
      <c r="F35" s="55">
        <f>E35/E40</f>
        <v>4.6981376940010882e-003</v>
      </c>
      <c r="G35" s="24"/>
    </row>
    <row r="36" s="17" customFormat="1" ht="15.75" customHeight="1">
      <c r="A36" s="54" t="str">
        <f>A329</f>
        <v xml:space="preserve">3.3.6. Pneus</v>
      </c>
      <c r="B36" s="51"/>
      <c r="C36" s="43"/>
      <c r="D36" s="43"/>
      <c r="E36" s="44">
        <f>F336</f>
        <v>402.28571428571428</v>
      </c>
      <c r="F36" s="55">
        <f>E36/E40</f>
        <v>1.0573391205839812e-003</v>
      </c>
      <c r="G36" s="24"/>
    </row>
    <row r="37" s="34" customFormat="1" ht="15.75" customHeight="1">
      <c r="A37" s="46" t="str">
        <f>A340</f>
        <v xml:space="preserve">4. Ferramentas e Materiais de Consumo</v>
      </c>
      <c r="B37" s="48"/>
      <c r="C37" s="37"/>
      <c r="D37" s="37"/>
      <c r="E37" s="38">
        <f>+F369</f>
        <v>23545.748333333333</v>
      </c>
      <c r="F37" s="39">
        <f t="shared" ref="F37:F39" si="1">IFERROR(E37/$E$40,0)</f>
        <v>6.1885967987858254e-002</v>
      </c>
      <c r="G37" s="40"/>
    </row>
    <row r="38" s="34" customFormat="1" ht="15.75" customHeight="1">
      <c r="A38" s="46" t="str">
        <f>A371</f>
        <v xml:space="preserve">5. Monitoramento da Frota</v>
      </c>
      <c r="B38" s="48"/>
      <c r="C38" s="37"/>
      <c r="D38" s="37"/>
      <c r="E38" s="38">
        <f>+F380</f>
        <v>0</v>
      </c>
      <c r="F38" s="39">
        <f t="shared" si="1"/>
        <v>0</v>
      </c>
      <c r="G38" s="40"/>
    </row>
    <row r="39" s="34" customFormat="1" ht="15.75" customHeight="1">
      <c r="A39" s="46" t="str">
        <f>A384</f>
        <v xml:space="preserve">6. Benefícios e Despesas Indiretas - BDI</v>
      </c>
      <c r="B39" s="48"/>
      <c r="C39" s="37"/>
      <c r="D39" s="37"/>
      <c r="E39" s="57">
        <f>+F390</f>
        <v>86443.703197635696</v>
      </c>
      <c r="F39" s="39">
        <f t="shared" si="1"/>
        <v>0.22720247295208654</v>
      </c>
      <c r="G39" s="40"/>
    </row>
    <row r="40" s="17" customFormat="1" ht="15.75" customHeight="1">
      <c r="A40" s="58" t="s">
        <v>11</v>
      </c>
      <c r="B40" s="59"/>
      <c r="C40" s="60"/>
      <c r="D40" s="60"/>
      <c r="E40" s="61">
        <f>E9+E14+E15+E37+E38+E39</f>
        <v>380469.9045501381</v>
      </c>
      <c r="F40" s="62">
        <f>F9+F14+F15+F37+F38+F39</f>
        <v>1</v>
      </c>
      <c r="G40" s="24"/>
    </row>
    <row r="41" ht="12.75">
      <c r="A41" s="63"/>
      <c r="B41" s="63"/>
      <c r="C41" s="63"/>
      <c r="D41" s="64"/>
      <c r="E41" s="64"/>
      <c r="F41" s="64"/>
    </row>
    <row r="42" ht="13.5">
      <c r="A42" s="63"/>
      <c r="B42" s="63"/>
      <c r="C42" s="63"/>
      <c r="D42" s="64"/>
      <c r="E42" s="64"/>
      <c r="F42" s="64"/>
    </row>
    <row r="43" s="17" customFormat="1" ht="15" customHeight="1">
      <c r="A43" s="65" t="s">
        <v>12</v>
      </c>
      <c r="B43" s="66"/>
      <c r="C43" s="66"/>
      <c r="D43" s="66"/>
      <c r="E43" s="67"/>
      <c r="F43" s="64"/>
      <c r="G43" s="24"/>
    </row>
    <row r="44" s="17" customFormat="1" ht="15" customHeight="1">
      <c r="A44" s="68" t="s">
        <v>13</v>
      </c>
      <c r="B44" s="69"/>
      <c r="C44" s="69"/>
      <c r="D44" s="70"/>
      <c r="E44" s="71" t="s">
        <v>14</v>
      </c>
      <c r="F44" s="64"/>
      <c r="G44" s="24"/>
    </row>
    <row r="45" s="17" customFormat="1" ht="15" customHeight="1">
      <c r="A45" s="72" t="str">
        <f t="shared" ref="A45:A46" si="2">A10</f>
        <v>1.1.Encarregados/motoristas</v>
      </c>
      <c r="B45" s="73"/>
      <c r="C45" s="73"/>
      <c r="D45" s="74"/>
      <c r="E45" s="75">
        <v>6</v>
      </c>
      <c r="F45" s="64"/>
      <c r="G45" s="24"/>
    </row>
    <row r="46" s="17" customFormat="1" ht="15" customHeight="1">
      <c r="A46" s="72" t="str">
        <f t="shared" si="2"/>
        <v xml:space="preserve">1.2. Servidores/gari</v>
      </c>
      <c r="B46" s="76"/>
      <c r="C46" s="76"/>
      <c r="D46" s="77"/>
      <c r="E46" s="78">
        <v>66</v>
      </c>
      <c r="F46" s="64"/>
      <c r="G46" s="24"/>
    </row>
    <row r="47" s="17" customFormat="1" ht="15" customHeight="1">
      <c r="A47" s="79" t="s">
        <v>15</v>
      </c>
      <c r="B47" s="80"/>
      <c r="C47" s="80"/>
      <c r="D47" s="81"/>
      <c r="E47" s="82">
        <f>SUM(E45:E46)</f>
        <v>72</v>
      </c>
      <c r="F47" s="64"/>
      <c r="G47" s="24"/>
    </row>
    <row r="48" s="17" customFormat="1" ht="15" customHeight="1">
      <c r="A48" s="83"/>
      <c r="B48" s="84"/>
      <c r="C48" s="64"/>
      <c r="D48" s="64"/>
      <c r="E48" s="85"/>
      <c r="F48" s="64"/>
      <c r="G48" s="24"/>
    </row>
    <row r="49" s="17" customFormat="1" ht="15" customHeight="1">
      <c r="A49" s="86" t="s">
        <v>16</v>
      </c>
      <c r="B49" s="87"/>
      <c r="C49" s="87"/>
      <c r="D49" s="87"/>
      <c r="E49" s="71" t="s">
        <v>14</v>
      </c>
      <c r="F49" s="63"/>
      <c r="G49" s="24"/>
    </row>
    <row r="50" s="17" customFormat="1" ht="15" customHeight="1">
      <c r="A50" s="88" t="str">
        <f>+A125</f>
        <v xml:space="preserve">3.1. Veículo Caminhão</v>
      </c>
      <c r="B50" s="89"/>
      <c r="C50" s="89"/>
      <c r="D50" s="90"/>
      <c r="E50" s="91">
        <v>2</v>
      </c>
      <c r="F50" s="63"/>
      <c r="G50" s="24"/>
    </row>
    <row r="51" s="17" customFormat="1" ht="15" customHeight="1">
      <c r="A51" s="92" t="s">
        <v>17</v>
      </c>
      <c r="B51" s="93"/>
      <c r="C51" s="93"/>
      <c r="D51" s="94"/>
      <c r="E51" s="95">
        <v>2</v>
      </c>
      <c r="F51" s="63"/>
      <c r="G51" s="24"/>
    </row>
    <row r="52" s="17" customFormat="1" ht="15" customHeight="1">
      <c r="A52" s="96" t="s">
        <v>18</v>
      </c>
      <c r="B52" s="97"/>
      <c r="C52" s="97"/>
      <c r="D52" s="98"/>
      <c r="E52" s="99">
        <v>1</v>
      </c>
      <c r="F52" s="63"/>
      <c r="G52" s="24"/>
    </row>
    <row r="53" s="17" customFormat="1" ht="15" customHeight="1">
      <c r="A53" s="64"/>
      <c r="B53" s="64"/>
      <c r="C53" s="64"/>
      <c r="D53" s="63"/>
      <c r="E53" s="100"/>
      <c r="F53" s="63"/>
      <c r="G53" s="24"/>
    </row>
    <row r="54" s="17" customFormat="1" ht="13.5">
      <c r="A54" s="64"/>
      <c r="B54" s="64"/>
      <c r="C54" s="64"/>
      <c r="D54" s="63"/>
      <c r="E54" s="101"/>
      <c r="F54" s="63"/>
      <c r="G54" s="24"/>
    </row>
    <row r="55" s="34" customFormat="1" ht="15.75" customHeight="1">
      <c r="A55" s="102" t="s">
        <v>19</v>
      </c>
      <c r="B55" s="103">
        <v>1</v>
      </c>
      <c r="C55" s="40"/>
      <c r="D55" s="34"/>
      <c r="E55" s="104"/>
      <c r="G55" s="40"/>
    </row>
    <row r="56" s="17" customFormat="1" ht="15.75" customHeight="1">
      <c r="A56" s="2"/>
      <c r="B56" s="2"/>
      <c r="C56" s="2"/>
      <c r="D56" s="1"/>
      <c r="E56" s="105"/>
      <c r="F56" s="1"/>
      <c r="G56" s="24"/>
    </row>
    <row r="57" ht="13.15" customHeight="1">
      <c r="A57" s="34" t="s">
        <v>20</v>
      </c>
      <c r="D57" s="2"/>
      <c r="E57" s="2"/>
    </row>
    <row r="58" ht="11.25" customHeight="1">
      <c r="A58" s="1"/>
      <c r="D58" s="2"/>
      <c r="E58" s="2"/>
    </row>
    <row r="59" ht="13.9" customHeight="1">
      <c r="A59" s="106" t="str">
        <f>A10</f>
        <v>1.1.Encarregados/motoristas</v>
      </c>
      <c r="D59" s="2"/>
      <c r="E59" s="2"/>
    </row>
    <row r="60" ht="13.9" customHeight="1">
      <c r="A60" s="107" t="s">
        <v>21</v>
      </c>
      <c r="B60" s="108" t="s">
        <v>22</v>
      </c>
      <c r="C60" s="108" t="s">
        <v>14</v>
      </c>
      <c r="D60" s="109" t="s">
        <v>23</v>
      </c>
      <c r="E60" s="109" t="s">
        <v>24</v>
      </c>
      <c r="F60" s="110" t="s">
        <v>25</v>
      </c>
    </row>
    <row r="61" ht="19.5">
      <c r="A61" s="111" t="s">
        <v>26</v>
      </c>
      <c r="B61" s="112" t="s">
        <v>27</v>
      </c>
      <c r="C61" s="112">
        <v>1</v>
      </c>
      <c r="D61" s="113">
        <v>2486.23</v>
      </c>
      <c r="E61" s="114">
        <f>C61*D61</f>
        <v>2486.23</v>
      </c>
      <c r="F61" s="2"/>
    </row>
    <row r="62" ht="13.5" customHeight="1">
      <c r="A62" s="115" t="s">
        <v>28</v>
      </c>
      <c r="B62" s="116" t="s">
        <v>8</v>
      </c>
      <c r="C62" s="116">
        <v>20</v>
      </c>
      <c r="D62" s="117">
        <f>SUM(E61:E61)</f>
        <v>2486.23</v>
      </c>
      <c r="E62" s="117">
        <f>C62*D62/100</f>
        <v>497.24599999999998</v>
      </c>
      <c r="F62" s="2"/>
    </row>
    <row r="63" ht="15.75" customHeight="1">
      <c r="A63" s="118" t="s">
        <v>29</v>
      </c>
      <c r="B63" s="119"/>
      <c r="C63" s="119"/>
      <c r="D63" s="120"/>
      <c r="E63" s="121">
        <f>SUM(E61:E62)</f>
        <v>2983.4760000000001</v>
      </c>
      <c r="F63" s="2"/>
    </row>
    <row r="64" ht="14.25" customHeight="1">
      <c r="A64" s="115" t="s">
        <v>30</v>
      </c>
      <c r="B64" s="116" t="s">
        <v>8</v>
      </c>
      <c r="C64" s="122">
        <v>46.32</v>
      </c>
      <c r="D64" s="117">
        <f>E63</f>
        <v>2983.4760000000001</v>
      </c>
      <c r="E64" s="117">
        <f>D64*C64/100</f>
        <v>1381.9460832</v>
      </c>
      <c r="F64" s="2"/>
    </row>
    <row r="65" ht="16.5" customHeight="1">
      <c r="A65" s="118" t="s">
        <v>31</v>
      </c>
      <c r="B65" s="119"/>
      <c r="C65" s="119"/>
      <c r="D65" s="120"/>
      <c r="E65" s="121">
        <f>E63+E64</f>
        <v>4365.4220832000001</v>
      </c>
      <c r="F65" s="2"/>
    </row>
    <row r="66" ht="13.5">
      <c r="A66" s="115" t="s">
        <v>32</v>
      </c>
      <c r="B66" s="116" t="s">
        <v>33</v>
      </c>
      <c r="C66" s="123">
        <v>6</v>
      </c>
      <c r="D66" s="117">
        <f>E65</f>
        <v>4365.4220832000001</v>
      </c>
      <c r="E66" s="117">
        <f>C66*D66</f>
        <v>26192.532499200002</v>
      </c>
      <c r="F66" s="2"/>
      <c r="G66" s="24"/>
    </row>
    <row r="67" ht="13.9" customHeight="1">
      <c r="A67" s="1"/>
      <c r="D67" s="124" t="s">
        <v>34</v>
      </c>
      <c r="E67" s="125">
        <f>$B$55</f>
        <v>1</v>
      </c>
      <c r="F67" s="126">
        <f>E66*E67</f>
        <v>26192.532499200002</v>
      </c>
      <c r="G67" s="24"/>
    </row>
    <row r="68" ht="11.25" customHeight="1">
      <c r="A68" s="1"/>
      <c r="D68" s="2"/>
      <c r="E68" s="2"/>
    </row>
    <row r="69" ht="13.5">
      <c r="A69" s="127" t="str">
        <f>A11</f>
        <v xml:space="preserve">1.2. Servidores/gari</v>
      </c>
      <c r="B69" s="63"/>
      <c r="C69" s="63"/>
      <c r="D69" s="64"/>
      <c r="E69" s="64"/>
      <c r="F69" s="64"/>
    </row>
    <row r="70" ht="13.5">
      <c r="A70" s="128" t="s">
        <v>21</v>
      </c>
      <c r="B70" s="129" t="s">
        <v>22</v>
      </c>
      <c r="C70" s="129" t="s">
        <v>14</v>
      </c>
      <c r="D70" s="130" t="s">
        <v>23</v>
      </c>
      <c r="E70" s="130" t="s">
        <v>24</v>
      </c>
      <c r="F70" s="131" t="s">
        <v>25</v>
      </c>
    </row>
    <row r="71">
      <c r="A71" s="132" t="s">
        <v>26</v>
      </c>
      <c r="B71" s="133" t="s">
        <v>27</v>
      </c>
      <c r="C71" s="133">
        <v>1</v>
      </c>
      <c r="D71" s="134">
        <v>1458.4400000000001</v>
      </c>
      <c r="E71" s="134">
        <f>C71*D71</f>
        <v>1458.4400000000001</v>
      </c>
      <c r="F71" s="64"/>
    </row>
    <row r="72">
      <c r="A72" s="135" t="s">
        <v>28</v>
      </c>
      <c r="B72" s="136" t="s">
        <v>8</v>
      </c>
      <c r="C72" s="136">
        <v>20</v>
      </c>
      <c r="D72" s="137">
        <f>SUM(E71:E71)</f>
        <v>1458.4400000000001</v>
      </c>
      <c r="E72" s="137">
        <f>C72*D72/100</f>
        <v>291.68800000000005</v>
      </c>
      <c r="F72" s="64"/>
    </row>
    <row r="73">
      <c r="A73" s="138" t="s">
        <v>29</v>
      </c>
      <c r="B73" s="139"/>
      <c r="C73" s="139"/>
      <c r="D73" s="140"/>
      <c r="E73" s="141">
        <f>SUM(E71:E72)</f>
        <v>1750.1280000000002</v>
      </c>
      <c r="F73" s="64"/>
    </row>
    <row r="74">
      <c r="A74" s="135" t="s">
        <v>30</v>
      </c>
      <c r="B74" s="136" t="s">
        <v>8</v>
      </c>
      <c r="C74" s="142">
        <v>46.32</v>
      </c>
      <c r="D74" s="137">
        <f>E73</f>
        <v>1750.1280000000002</v>
      </c>
      <c r="E74" s="137">
        <f>D74*C74/100</f>
        <v>810.65928960000008</v>
      </c>
      <c r="F74" s="64"/>
    </row>
    <row r="75">
      <c r="A75" s="138" t="s">
        <v>31</v>
      </c>
      <c r="B75" s="139"/>
      <c r="C75" s="139"/>
      <c r="D75" s="140"/>
      <c r="E75" s="141">
        <f>E73+E74</f>
        <v>2560.7872896000003</v>
      </c>
      <c r="F75" s="64"/>
    </row>
    <row r="76" ht="13.5">
      <c r="A76" s="135" t="s">
        <v>32</v>
      </c>
      <c r="B76" s="136" t="s">
        <v>33</v>
      </c>
      <c r="C76" s="143">
        <v>66</v>
      </c>
      <c r="D76" s="137">
        <f>E75</f>
        <v>2560.7872896000003</v>
      </c>
      <c r="E76" s="137">
        <f>C76*D76</f>
        <v>169011.96111360003</v>
      </c>
      <c r="F76" s="64"/>
    </row>
    <row r="77" ht="13.5">
      <c r="A77" s="63"/>
      <c r="B77" s="63"/>
      <c r="C77" s="63"/>
      <c r="D77" s="144" t="s">
        <v>34</v>
      </c>
      <c r="E77" s="145">
        <f>$B$55</f>
        <v>1</v>
      </c>
      <c r="F77" s="146">
        <f>E76*E77</f>
        <v>169011.96111360003</v>
      </c>
    </row>
    <row r="78" ht="11.25" customHeight="1">
      <c r="A78" s="1"/>
      <c r="C78" s="1"/>
      <c r="E78" s="2"/>
      <c r="F78" s="2"/>
    </row>
    <row r="79" ht="11.25" customHeight="1">
      <c r="A79" s="1"/>
      <c r="C79" s="1"/>
      <c r="E79" s="2"/>
      <c r="F79" s="2"/>
      <c r="G79" s="1"/>
    </row>
    <row r="80" ht="13.5">
      <c r="A80" s="63" t="s">
        <v>35</v>
      </c>
      <c r="B80" s="147"/>
      <c r="C80" s="63"/>
      <c r="D80" s="63"/>
      <c r="E80" s="63"/>
      <c r="F80" s="64"/>
      <c r="G80" s="1"/>
    </row>
    <row r="81" ht="13.5">
      <c r="A81" s="128" t="s">
        <v>21</v>
      </c>
      <c r="B81" s="129" t="s">
        <v>22</v>
      </c>
      <c r="C81" s="129" t="s">
        <v>14</v>
      </c>
      <c r="D81" s="130" t="s">
        <v>23</v>
      </c>
      <c r="E81" s="130" t="s">
        <v>24</v>
      </c>
      <c r="F81" s="131" t="s">
        <v>25</v>
      </c>
      <c r="G81" s="1"/>
    </row>
    <row r="82">
      <c r="A82" s="135" t="s">
        <v>36</v>
      </c>
      <c r="B82" s="136" t="s">
        <v>37</v>
      </c>
      <c r="C82" s="148">
        <v>1</v>
      </c>
      <c r="D82" s="149">
        <v>3.8999999999999999</v>
      </c>
      <c r="E82" s="137"/>
      <c r="F82" s="64"/>
      <c r="G82" s="1"/>
    </row>
    <row r="83">
      <c r="A83" s="135" t="s">
        <v>38</v>
      </c>
      <c r="B83" s="136" t="s">
        <v>39</v>
      </c>
      <c r="C83" s="150">
        <v>22</v>
      </c>
      <c r="D83" s="137"/>
      <c r="E83" s="137"/>
      <c r="F83" s="64"/>
      <c r="G83" s="1"/>
    </row>
    <row r="84" ht="13.5">
      <c r="A84" s="151" t="str">
        <f>A47</f>
        <v xml:space="preserve">Total de mão-de-obra (postos de trabalho)</v>
      </c>
      <c r="B84" s="136" t="s">
        <v>40</v>
      </c>
      <c r="C84" s="152">
        <f>$C$83*2*(C66+C76)</f>
        <v>3168</v>
      </c>
      <c r="D84" s="134">
        <v>1.8300000000000001</v>
      </c>
      <c r="E84" s="137">
        <f>IFERROR(C84*D84,"-")</f>
        <v>5797.4400000000005</v>
      </c>
      <c r="F84" s="64"/>
      <c r="G84" s="1"/>
    </row>
    <row r="85" ht="13.5">
      <c r="A85" s="63"/>
      <c r="B85" s="63"/>
      <c r="C85" s="63"/>
      <c r="D85" s="64"/>
      <c r="E85" s="64"/>
      <c r="F85" s="153">
        <f>SUM(E84:E84)</f>
        <v>5797.4400000000005</v>
      </c>
      <c r="G85" s="1"/>
    </row>
    <row r="86" ht="11.25" customHeight="1">
      <c r="A86" s="154"/>
      <c r="B86" s="154"/>
      <c r="C86" s="154"/>
      <c r="D86" s="155"/>
      <c r="E86" s="155"/>
      <c r="F86" s="155"/>
      <c r="G86" s="1"/>
    </row>
    <row r="87" ht="13.5">
      <c r="A87" s="154" t="s">
        <v>41</v>
      </c>
      <c r="B87" s="154"/>
      <c r="C87" s="154"/>
      <c r="D87" s="155"/>
      <c r="E87" s="155"/>
      <c r="F87" s="156"/>
      <c r="G87" s="1"/>
    </row>
    <row r="88" ht="13.5">
      <c r="A88" s="157" t="s">
        <v>21</v>
      </c>
      <c r="B88" s="158" t="s">
        <v>22</v>
      </c>
      <c r="C88" s="158" t="s">
        <v>14</v>
      </c>
      <c r="D88" s="159" t="s">
        <v>23</v>
      </c>
      <c r="E88" s="159" t="s">
        <v>24</v>
      </c>
      <c r="F88" s="160" t="s">
        <v>25</v>
      </c>
      <c r="G88" s="1"/>
    </row>
    <row r="89">
      <c r="A89" s="161" t="s">
        <v>42</v>
      </c>
      <c r="B89" s="162" t="s">
        <v>43</v>
      </c>
      <c r="C89" s="163">
        <v>1</v>
      </c>
      <c r="D89" s="164">
        <v>22</v>
      </c>
      <c r="E89" s="165">
        <f>C89*D89</f>
        <v>22</v>
      </c>
      <c r="F89" s="156"/>
      <c r="G89" s="1"/>
    </row>
    <row r="90">
      <c r="A90" s="161" t="s">
        <v>44</v>
      </c>
      <c r="B90" s="162" t="s">
        <v>39</v>
      </c>
      <c r="C90" s="163">
        <v>22</v>
      </c>
      <c r="D90" s="164"/>
      <c r="E90" s="165"/>
      <c r="F90" s="156"/>
      <c r="G90" s="1"/>
    </row>
    <row r="91" ht="13.5">
      <c r="A91" s="161" t="s">
        <v>15</v>
      </c>
      <c r="B91" s="162" t="s">
        <v>40</v>
      </c>
      <c r="C91" s="163">
        <f>72*22</f>
        <v>1584</v>
      </c>
      <c r="D91" s="164">
        <f>D89-18.2*0.19</f>
        <v>18.542000000000002</v>
      </c>
      <c r="E91" s="165">
        <f>C91*D91</f>
        <v>29370.528000000002</v>
      </c>
      <c r="F91" s="156"/>
      <c r="G91" s="1"/>
    </row>
    <row r="92" ht="13.5">
      <c r="A92" s="154"/>
      <c r="B92" s="154"/>
      <c r="C92" s="154"/>
      <c r="D92" s="155"/>
      <c r="E92" s="155"/>
      <c r="F92" s="166">
        <f>E91</f>
        <v>29370.528000000002</v>
      </c>
      <c r="G92" s="1"/>
    </row>
    <row r="93">
      <c r="A93" s="154"/>
      <c r="B93" s="154"/>
      <c r="C93" s="154"/>
      <c r="D93" s="155"/>
      <c r="E93" s="155"/>
      <c r="F93" s="155"/>
      <c r="G93" s="1"/>
    </row>
    <row r="94" ht="13.5">
      <c r="A94" s="154"/>
      <c r="B94" s="154"/>
      <c r="C94" s="154"/>
      <c r="D94" s="155"/>
      <c r="E94" s="155"/>
      <c r="F94" s="155"/>
      <c r="G94" s="1"/>
    </row>
    <row r="95" ht="13.5">
      <c r="A95" s="167" t="s">
        <v>45</v>
      </c>
      <c r="B95" s="168"/>
      <c r="C95" s="168"/>
      <c r="D95" s="169"/>
      <c r="E95" s="170"/>
      <c r="F95" s="166">
        <f>F92+F85+F77+F67</f>
        <v>230372.46161280002</v>
      </c>
      <c r="G95" s="1"/>
    </row>
    <row r="96" ht="12.75">
      <c r="A96" s="63"/>
      <c r="B96" s="63"/>
      <c r="C96" s="63"/>
      <c r="D96" s="64"/>
      <c r="E96" s="64"/>
      <c r="F96" s="64"/>
    </row>
    <row r="97">
      <c r="A97" s="171" t="s">
        <v>46</v>
      </c>
      <c r="B97" s="63"/>
      <c r="C97" s="63"/>
      <c r="D97" s="64"/>
      <c r="E97" s="64"/>
      <c r="F97" s="64"/>
      <c r="G97" s="1"/>
    </row>
    <row r="98" ht="11.25" customHeight="1">
      <c r="A98" s="63"/>
      <c r="B98" s="63"/>
      <c r="C98" s="63"/>
      <c r="D98" s="64"/>
      <c r="E98" s="64"/>
      <c r="F98" s="64"/>
      <c r="G98" s="1"/>
    </row>
    <row r="99" ht="13.9" customHeight="1">
      <c r="A99" s="63" t="s">
        <v>47</v>
      </c>
      <c r="B99" s="63"/>
      <c r="C99" s="63"/>
      <c r="D99" s="172" t="s">
        <v>48</v>
      </c>
      <c r="E99" s="64"/>
      <c r="F99" s="64"/>
      <c r="G99" s="1"/>
    </row>
    <row r="100" ht="11.25" customHeight="1">
      <c r="A100" s="63"/>
      <c r="B100" s="63"/>
      <c r="C100" s="63"/>
      <c r="D100" s="64"/>
      <c r="E100" s="64"/>
      <c r="F100" s="64"/>
      <c r="G100" s="1"/>
    </row>
    <row r="101" ht="27.75" customHeight="1">
      <c r="A101" s="128" t="s">
        <v>21</v>
      </c>
      <c r="B101" s="129" t="s">
        <v>22</v>
      </c>
      <c r="C101" s="173" t="s">
        <v>49</v>
      </c>
      <c r="D101" s="130" t="s">
        <v>23</v>
      </c>
      <c r="E101" s="130" t="s">
        <v>24</v>
      </c>
      <c r="F101" s="131" t="s">
        <v>25</v>
      </c>
      <c r="G101" s="1"/>
    </row>
    <row r="102">
      <c r="A102" s="132" t="s">
        <v>50</v>
      </c>
      <c r="B102" s="133" t="s">
        <v>43</v>
      </c>
      <c r="C102" s="174">
        <v>24</v>
      </c>
      <c r="D102" s="175">
        <v>120</v>
      </c>
      <c r="E102" s="134">
        <f t="shared" ref="E102:E115" si="3">IFERROR(D102/C102,0)</f>
        <v>5</v>
      </c>
      <c r="F102" s="64"/>
      <c r="G102" s="1"/>
    </row>
    <row r="103" ht="13.15" customHeight="1">
      <c r="A103" s="135" t="s">
        <v>51</v>
      </c>
      <c r="B103" s="136" t="s">
        <v>43</v>
      </c>
      <c r="C103" s="174">
        <v>4</v>
      </c>
      <c r="D103" s="175">
        <v>90</v>
      </c>
      <c r="E103" s="134">
        <f t="shared" si="3"/>
        <v>22.5</v>
      </c>
      <c r="F103" s="64"/>
      <c r="G103" s="1"/>
    </row>
    <row r="104">
      <c r="A104" s="135" t="s">
        <v>52</v>
      </c>
      <c r="B104" s="136" t="s">
        <v>43</v>
      </c>
      <c r="C104" s="174">
        <v>4</v>
      </c>
      <c r="D104" s="175">
        <v>50</v>
      </c>
      <c r="E104" s="134">
        <f t="shared" si="3"/>
        <v>12.5</v>
      </c>
      <c r="F104" s="64"/>
      <c r="G104" s="1"/>
    </row>
    <row r="105" ht="13.15" customHeight="1">
      <c r="A105" s="135" t="s">
        <v>53</v>
      </c>
      <c r="B105" s="136" t="s">
        <v>43</v>
      </c>
      <c r="C105" s="174">
        <v>6</v>
      </c>
      <c r="D105" s="175">
        <v>12</v>
      </c>
      <c r="E105" s="134">
        <f t="shared" si="3"/>
        <v>2</v>
      </c>
      <c r="F105" s="64"/>
      <c r="G105" s="1"/>
    </row>
    <row r="106" ht="13.9" customHeight="1">
      <c r="A106" s="135" t="s">
        <v>54</v>
      </c>
      <c r="B106" s="136" t="s">
        <v>55</v>
      </c>
      <c r="C106" s="174">
        <v>6</v>
      </c>
      <c r="D106" s="175">
        <v>65</v>
      </c>
      <c r="E106" s="134">
        <f t="shared" si="3"/>
        <v>10.833333333333334</v>
      </c>
      <c r="F106" s="64"/>
      <c r="G106" s="1"/>
    </row>
    <row r="107" ht="13.15" customHeight="1">
      <c r="A107" s="135" t="s">
        <v>56</v>
      </c>
      <c r="B107" s="136" t="s">
        <v>55</v>
      </c>
      <c r="C107" s="174">
        <v>8</v>
      </c>
      <c r="D107" s="175">
        <v>30</v>
      </c>
      <c r="E107" s="134">
        <f t="shared" si="3"/>
        <v>3.75</v>
      </c>
      <c r="F107" s="64"/>
    </row>
    <row r="108">
      <c r="A108" s="135" t="s">
        <v>57</v>
      </c>
      <c r="B108" s="136" t="s">
        <v>43</v>
      </c>
      <c r="C108" s="174">
        <v>8</v>
      </c>
      <c r="D108" s="175">
        <v>30</v>
      </c>
      <c r="E108" s="134">
        <f t="shared" si="3"/>
        <v>3.75</v>
      </c>
      <c r="F108" s="64"/>
    </row>
    <row r="109" s="154" customFormat="1">
      <c r="A109" s="135" t="s">
        <v>58</v>
      </c>
      <c r="B109" s="136" t="s">
        <v>43</v>
      </c>
      <c r="C109" s="174">
        <v>6</v>
      </c>
      <c r="D109" s="175">
        <v>15</v>
      </c>
      <c r="E109" s="134">
        <f t="shared" si="3"/>
        <v>2.5</v>
      </c>
      <c r="F109" s="64"/>
      <c r="G109" s="155"/>
    </row>
    <row r="110">
      <c r="A110" s="135" t="s">
        <v>59</v>
      </c>
      <c r="B110" s="136" t="s">
        <v>55</v>
      </c>
      <c r="C110" s="174">
        <v>2</v>
      </c>
      <c r="D110" s="175">
        <v>45</v>
      </c>
      <c r="E110" s="134">
        <f t="shared" si="3"/>
        <v>22.5</v>
      </c>
      <c r="F110" s="64"/>
    </row>
    <row r="111">
      <c r="A111" s="135" t="s">
        <v>60</v>
      </c>
      <c r="B111" s="136" t="s">
        <v>43</v>
      </c>
      <c r="C111" s="174">
        <v>2</v>
      </c>
      <c r="D111" s="175">
        <v>20</v>
      </c>
      <c r="E111" s="134">
        <f t="shared" si="3"/>
        <v>10</v>
      </c>
      <c r="F111" s="64"/>
    </row>
    <row r="112">
      <c r="A112" s="135" t="s">
        <v>61</v>
      </c>
      <c r="B112" s="136" t="s">
        <v>43</v>
      </c>
      <c r="C112" s="174">
        <v>2</v>
      </c>
      <c r="D112" s="175">
        <v>20</v>
      </c>
      <c r="E112" s="134">
        <f t="shared" si="3"/>
        <v>10</v>
      </c>
      <c r="F112" s="64"/>
    </row>
    <row r="113">
      <c r="A113" s="135" t="s">
        <v>62</v>
      </c>
      <c r="B113" s="136" t="s">
        <v>43</v>
      </c>
      <c r="C113" s="174">
        <v>2</v>
      </c>
      <c r="D113" s="175">
        <v>18</v>
      </c>
      <c r="E113" s="134">
        <f t="shared" si="3"/>
        <v>9</v>
      </c>
      <c r="F113" s="64"/>
    </row>
    <row r="114">
      <c r="A114" s="135" t="s">
        <v>63</v>
      </c>
      <c r="B114" s="136" t="s">
        <v>43</v>
      </c>
      <c r="C114" s="174">
        <v>1</v>
      </c>
      <c r="D114" s="175">
        <v>2</v>
      </c>
      <c r="E114" s="134">
        <f t="shared" si="3"/>
        <v>2</v>
      </c>
      <c r="F114" s="64"/>
    </row>
    <row r="115" ht="13.15" customHeight="1">
      <c r="A115" s="135" t="s">
        <v>64</v>
      </c>
      <c r="B115" s="136" t="s">
        <v>65</v>
      </c>
      <c r="C115" s="174">
        <v>1</v>
      </c>
      <c r="D115" s="175">
        <v>30</v>
      </c>
      <c r="E115" s="134">
        <f t="shared" si="3"/>
        <v>30</v>
      </c>
      <c r="F115" s="64"/>
    </row>
    <row r="116">
      <c r="A116" s="135" t="s">
        <v>66</v>
      </c>
      <c r="B116" s="136" t="s">
        <v>43</v>
      </c>
      <c r="C116" s="176">
        <v>6</v>
      </c>
      <c r="D116" s="175">
        <v>70</v>
      </c>
      <c r="E116" s="137">
        <f>D116/C116</f>
        <v>11.666666666666666</v>
      </c>
      <c r="F116" s="64"/>
    </row>
    <row r="117" ht="13.5">
      <c r="A117" s="135" t="s">
        <v>32</v>
      </c>
      <c r="B117" s="136" t="s">
        <v>33</v>
      </c>
      <c r="C117" s="176">
        <v>72</v>
      </c>
      <c r="D117" s="137">
        <f>+SUM(E102:E116)</f>
        <v>158</v>
      </c>
      <c r="E117" s="137">
        <f t="shared" ref="E117:E129" si="4">C117*D117</f>
        <v>11376</v>
      </c>
      <c r="F117" s="64"/>
    </row>
    <row r="118" ht="13.5">
      <c r="A118" s="63"/>
      <c r="B118" s="63"/>
      <c r="C118" s="63"/>
      <c r="D118" s="144" t="s">
        <v>34</v>
      </c>
      <c r="E118" s="145">
        <v>1</v>
      </c>
      <c r="F118" s="146">
        <f>E117*E118</f>
        <v>11376</v>
      </c>
    </row>
    <row r="119" ht="11.25" customHeight="1">
      <c r="A119" s="63"/>
      <c r="B119" s="63"/>
      <c r="C119" s="63"/>
      <c r="D119" s="64"/>
      <c r="E119" s="64"/>
      <c r="F119" s="64"/>
    </row>
    <row r="120" ht="11.25" customHeight="1">
      <c r="A120" s="63"/>
      <c r="B120" s="63"/>
      <c r="C120" s="63"/>
      <c r="D120" s="64"/>
      <c r="E120" s="64"/>
      <c r="F120" s="64"/>
      <c r="G120" s="1"/>
    </row>
    <row r="121" ht="13.5">
      <c r="A121" s="177" t="s">
        <v>67</v>
      </c>
      <c r="B121" s="178"/>
      <c r="C121" s="178"/>
      <c r="D121" s="179"/>
      <c r="E121" s="180"/>
      <c r="F121" s="181">
        <f>F118</f>
        <v>11376</v>
      </c>
      <c r="G121" s="1"/>
    </row>
    <row r="122" ht="11.25" customHeight="1">
      <c r="G122" s="1"/>
    </row>
    <row r="123">
      <c r="A123" s="34" t="s">
        <v>68</v>
      </c>
      <c r="G123" s="1"/>
    </row>
    <row r="124" ht="11.25" customHeight="1">
      <c r="B124" s="182"/>
      <c r="G124" s="1"/>
    </row>
    <row r="125">
      <c r="A125" s="171" t="s">
        <v>69</v>
      </c>
      <c r="B125" s="63"/>
      <c r="C125" s="63"/>
      <c r="D125" s="64"/>
      <c r="E125" s="64"/>
      <c r="F125" s="64"/>
      <c r="G125" s="1"/>
    </row>
    <row r="126" ht="11.25" customHeight="1">
      <c r="A126" s="63"/>
      <c r="B126" s="63"/>
      <c r="C126" s="63"/>
      <c r="D126" s="64"/>
      <c r="E126" s="64"/>
      <c r="F126" s="64"/>
      <c r="G126" s="1"/>
    </row>
    <row r="127" ht="13.5">
      <c r="A127" s="183" t="s">
        <v>70</v>
      </c>
      <c r="B127" s="63"/>
      <c r="C127" s="63"/>
      <c r="D127" s="64"/>
      <c r="E127" s="64"/>
      <c r="F127" s="64"/>
      <c r="G127" s="1"/>
    </row>
    <row r="128" ht="13.5">
      <c r="A128" s="128" t="s">
        <v>21</v>
      </c>
      <c r="B128" s="129" t="s">
        <v>22</v>
      </c>
      <c r="C128" s="129" t="s">
        <v>14</v>
      </c>
      <c r="D128" s="130" t="s">
        <v>23</v>
      </c>
      <c r="E128" s="130" t="s">
        <v>24</v>
      </c>
      <c r="F128" s="131" t="s">
        <v>25</v>
      </c>
      <c r="G128" s="1"/>
    </row>
    <row r="129">
      <c r="A129" s="132" t="s">
        <v>71</v>
      </c>
      <c r="B129" s="133" t="s">
        <v>43</v>
      </c>
      <c r="C129" s="133">
        <v>1</v>
      </c>
      <c r="D129" s="175">
        <v>280000</v>
      </c>
      <c r="E129" s="134">
        <f t="shared" si="4"/>
        <v>280000</v>
      </c>
      <c r="F129" s="64"/>
      <c r="G129" s="1"/>
    </row>
    <row r="130">
      <c r="A130" s="135" t="s">
        <v>72</v>
      </c>
      <c r="B130" s="136" t="s">
        <v>73</v>
      </c>
      <c r="C130" s="143">
        <v>10</v>
      </c>
      <c r="D130" s="137"/>
      <c r="E130" s="137"/>
      <c r="F130" s="64"/>
      <c r="G130" s="1"/>
    </row>
    <row r="131">
      <c r="A131" s="135" t="s">
        <v>74</v>
      </c>
      <c r="B131" s="136" t="s">
        <v>73</v>
      </c>
      <c r="C131" s="143">
        <v>0</v>
      </c>
      <c r="D131" s="137"/>
      <c r="E131" s="137"/>
      <c r="F131" s="184"/>
      <c r="I131" s="185"/>
      <c r="J131" s="185"/>
    </row>
    <row r="132">
      <c r="A132" s="135" t="s">
        <v>75</v>
      </c>
      <c r="B132" s="136" t="s">
        <v>8</v>
      </c>
      <c r="C132" s="142">
        <f>IFERROR(VLOOKUP(C130,'5. Depreciação'!A3:B17,2,FALSE),0)</f>
        <v>65.180000000000007</v>
      </c>
      <c r="D132" s="137">
        <f>E129</f>
        <v>280000</v>
      </c>
      <c r="E132" s="137">
        <f>C132*D132/100</f>
        <v>182504.00000000003</v>
      </c>
      <c r="F132" s="64"/>
    </row>
    <row r="133" ht="13.5">
      <c r="A133" s="186" t="s">
        <v>76</v>
      </c>
      <c r="B133" s="187" t="s">
        <v>27</v>
      </c>
      <c r="C133" s="187">
        <f>C130*12</f>
        <v>120</v>
      </c>
      <c r="D133" s="188">
        <f>IF(C131&lt;=C130,E132,0)</f>
        <v>182504.00000000003</v>
      </c>
      <c r="E133" s="188">
        <f>IFERROR(D133/C133,0)</f>
        <v>1520.866666666667</v>
      </c>
      <c r="F133" s="64"/>
    </row>
    <row r="134" ht="13.5">
      <c r="A134" s="132" t="s">
        <v>77</v>
      </c>
      <c r="B134" s="133" t="s">
        <v>43</v>
      </c>
      <c r="C134" s="133">
        <v>1</v>
      </c>
      <c r="D134" s="175">
        <v>20000</v>
      </c>
      <c r="E134" s="134">
        <f>C134*D134</f>
        <v>20000</v>
      </c>
      <c r="F134" s="64"/>
      <c r="G134" s="1"/>
    </row>
    <row r="135">
      <c r="A135" s="135" t="s">
        <v>78</v>
      </c>
      <c r="B135" s="136" t="s">
        <v>73</v>
      </c>
      <c r="C135" s="143">
        <v>10</v>
      </c>
      <c r="D135" s="137"/>
      <c r="E135" s="137"/>
      <c r="F135" s="64"/>
    </row>
    <row r="136">
      <c r="A136" s="135" t="s">
        <v>79</v>
      </c>
      <c r="B136" s="136" t="s">
        <v>73</v>
      </c>
      <c r="C136" s="143">
        <v>0</v>
      </c>
      <c r="D136" s="137"/>
      <c r="E136" s="137"/>
      <c r="F136" s="184"/>
      <c r="I136" s="185"/>
      <c r="J136" s="185"/>
    </row>
    <row r="137">
      <c r="A137" s="135" t="s">
        <v>80</v>
      </c>
      <c r="B137" s="136" t="s">
        <v>8</v>
      </c>
      <c r="C137" s="189">
        <f>IFERROR(VLOOKUP(C135,'5. Depreciação'!A3:B17,2,FALSE),0)</f>
        <v>65.180000000000007</v>
      </c>
      <c r="D137" s="137">
        <f>E134</f>
        <v>20000</v>
      </c>
      <c r="E137" s="137">
        <f>C137*D137/100</f>
        <v>13036.000000000002</v>
      </c>
      <c r="F137" s="64"/>
    </row>
    <row r="138">
      <c r="A138" s="190" t="s">
        <v>81</v>
      </c>
      <c r="B138" s="191" t="s">
        <v>27</v>
      </c>
      <c r="C138" s="191">
        <f>C135*12</f>
        <v>120</v>
      </c>
      <c r="D138" s="192">
        <f>IF(C136&lt;=C135,E137,0)</f>
        <v>13036.000000000002</v>
      </c>
      <c r="E138" s="192">
        <f>IFERROR(D138/C138,0)</f>
        <v>108.63333333333335</v>
      </c>
      <c r="F138" s="64"/>
    </row>
    <row r="139">
      <c r="A139" s="138" t="s">
        <v>82</v>
      </c>
      <c r="B139" s="139"/>
      <c r="C139" s="139"/>
      <c r="D139" s="140"/>
      <c r="E139" s="141">
        <f>E133+E138</f>
        <v>1629.5000000000005</v>
      </c>
      <c r="F139" s="64"/>
    </row>
    <row r="140" ht="13.5">
      <c r="A140" s="190" t="s">
        <v>83</v>
      </c>
      <c r="B140" s="191" t="s">
        <v>43</v>
      </c>
      <c r="C140" s="143">
        <v>2</v>
      </c>
      <c r="D140" s="192">
        <f>E139</f>
        <v>1629.5000000000005</v>
      </c>
      <c r="E140" s="141">
        <f>C140*D140</f>
        <v>3259.0000000000009</v>
      </c>
      <c r="F140" s="64"/>
    </row>
    <row r="141" ht="13.5">
      <c r="A141" s="193"/>
      <c r="B141" s="193"/>
      <c r="C141" s="193"/>
      <c r="D141" s="144" t="s">
        <v>34</v>
      </c>
      <c r="E141" s="145">
        <v>1</v>
      </c>
      <c r="F141" s="181">
        <f>E140*E141</f>
        <v>3259.0000000000009</v>
      </c>
    </row>
    <row r="142" ht="11.25" customHeight="1">
      <c r="A142" s="63"/>
      <c r="B142" s="63"/>
      <c r="C142" s="63"/>
      <c r="D142" s="64"/>
      <c r="E142" s="64"/>
      <c r="F142" s="64"/>
    </row>
    <row r="143" ht="13.5">
      <c r="A143" s="183" t="s">
        <v>84</v>
      </c>
      <c r="B143" s="63"/>
      <c r="C143" s="63"/>
      <c r="D143" s="64"/>
      <c r="E143" s="64"/>
      <c r="F143" s="64"/>
    </row>
    <row r="144" ht="13.5">
      <c r="A144" s="194" t="s">
        <v>21</v>
      </c>
      <c r="B144" s="195" t="s">
        <v>22</v>
      </c>
      <c r="C144" s="195" t="s">
        <v>14</v>
      </c>
      <c r="D144" s="130" t="s">
        <v>23</v>
      </c>
      <c r="E144" s="196" t="s">
        <v>24</v>
      </c>
      <c r="F144" s="131" t="s">
        <v>25</v>
      </c>
      <c r="I144" s="185"/>
      <c r="J144" s="185"/>
    </row>
    <row r="145">
      <c r="A145" s="135" t="s">
        <v>85</v>
      </c>
      <c r="B145" s="136" t="s">
        <v>43</v>
      </c>
      <c r="C145" s="133">
        <v>1</v>
      </c>
      <c r="D145" s="137">
        <v>280000</v>
      </c>
      <c r="E145" s="137">
        <f>C145*D145</f>
        <v>280000</v>
      </c>
      <c r="F145" s="184"/>
      <c r="I145" s="185"/>
      <c r="J145" s="185"/>
    </row>
    <row r="146">
      <c r="A146" s="135" t="s">
        <v>86</v>
      </c>
      <c r="B146" s="136" t="s">
        <v>8</v>
      </c>
      <c r="C146" s="143">
        <v>13.75</v>
      </c>
      <c r="D146" s="137"/>
      <c r="E146" s="137"/>
      <c r="F146" s="184"/>
      <c r="I146" s="185"/>
      <c r="J146" s="185"/>
    </row>
    <row r="147">
      <c r="A147" s="135" t="s">
        <v>87</v>
      </c>
      <c r="B147" s="136" t="s">
        <v>37</v>
      </c>
      <c r="C147" s="197">
        <f>IFERROR(IF(C131&lt;=C130,E129-(C132/(100*C130)*C131)*E129,E129-E132),0)</f>
        <v>280000</v>
      </c>
      <c r="D147" s="137"/>
      <c r="E147" s="137"/>
      <c r="F147" s="184"/>
      <c r="I147" s="185"/>
      <c r="J147" s="185"/>
    </row>
    <row r="148">
      <c r="A148" s="135" t="s">
        <v>88</v>
      </c>
      <c r="B148" s="136" t="s">
        <v>37</v>
      </c>
      <c r="C148" s="137">
        <f>IFERROR(IF(C131&gt;=C130,C147,((((C147)-(E129-E132))*(((C130-C131)+1)/(2*(C130-C131))))+(E129-E132))),0)</f>
        <v>197873.20000000001</v>
      </c>
      <c r="D148" s="137"/>
      <c r="E148" s="137"/>
      <c r="F148" s="184"/>
      <c r="I148" s="185"/>
      <c r="J148" s="185"/>
    </row>
    <row r="149" ht="13.5">
      <c r="A149" s="186" t="s">
        <v>89</v>
      </c>
      <c r="B149" s="187" t="s">
        <v>37</v>
      </c>
      <c r="C149" s="187"/>
      <c r="D149" s="188">
        <f>C146*C148/12/100</f>
        <v>2267.2970833333334</v>
      </c>
      <c r="E149" s="188">
        <f>D149</f>
        <v>2267.2970833333334</v>
      </c>
      <c r="F149" s="184"/>
      <c r="I149" s="185"/>
      <c r="J149" s="185"/>
    </row>
    <row r="150" ht="13.5">
      <c r="A150" s="132" t="s">
        <v>90</v>
      </c>
      <c r="B150" s="133" t="s">
        <v>43</v>
      </c>
      <c r="C150" s="133">
        <f>C134</f>
        <v>1</v>
      </c>
      <c r="D150" s="134">
        <f>D134</f>
        <v>20000</v>
      </c>
      <c r="E150" s="134">
        <f>C150*D150</f>
        <v>20000</v>
      </c>
      <c r="F150" s="184"/>
      <c r="I150" s="185"/>
      <c r="J150" s="185"/>
    </row>
    <row r="151">
      <c r="A151" s="135" t="s">
        <v>86</v>
      </c>
      <c r="B151" s="136" t="s">
        <v>8</v>
      </c>
      <c r="C151" s="136">
        <f>C146</f>
        <v>13.75</v>
      </c>
      <c r="D151" s="137"/>
      <c r="E151" s="137"/>
      <c r="F151" s="184"/>
      <c r="I151" s="185"/>
      <c r="J151" s="185"/>
    </row>
    <row r="152">
      <c r="A152" s="135" t="s">
        <v>91</v>
      </c>
      <c r="B152" s="136" t="s">
        <v>37</v>
      </c>
      <c r="C152" s="197">
        <f>IFERROR(IF(C136&lt;=C135,E134-(C137/(100*C135)*C136)*E134,E134-E137),0)</f>
        <v>20000</v>
      </c>
      <c r="D152" s="137"/>
      <c r="E152" s="137"/>
      <c r="F152" s="184"/>
      <c r="I152" s="185"/>
      <c r="J152" s="185"/>
    </row>
    <row r="153">
      <c r="A153" s="135" t="s">
        <v>92</v>
      </c>
      <c r="B153" s="136" t="s">
        <v>37</v>
      </c>
      <c r="C153" s="137">
        <f>IFERROR(IF(C136&gt;=C135,C152,((((C152)-(E134-E137))*(((C135-C136)+1)/(2*(C135-C136))))+(E134-E137))),0)</f>
        <v>14133.799999999999</v>
      </c>
      <c r="D153" s="137"/>
      <c r="E153" s="137"/>
      <c r="F153" s="184"/>
      <c r="I153" s="185"/>
      <c r="J153" s="185"/>
    </row>
    <row r="154">
      <c r="A154" s="190" t="s">
        <v>93</v>
      </c>
      <c r="B154" s="191" t="s">
        <v>37</v>
      </c>
      <c r="C154" s="191"/>
      <c r="D154" s="192">
        <f>C151*C153/12/100</f>
        <v>161.94979166666667</v>
      </c>
      <c r="E154" s="192">
        <f>D154</f>
        <v>161.94979166666667</v>
      </c>
      <c r="F154" s="184"/>
      <c r="I154" s="185"/>
      <c r="J154" s="185"/>
    </row>
    <row r="155">
      <c r="A155" s="138" t="s">
        <v>82</v>
      </c>
      <c r="B155" s="139"/>
      <c r="C155" s="139"/>
      <c r="D155" s="140"/>
      <c r="E155" s="141">
        <f>E149+E154</f>
        <v>2429.2468749999998</v>
      </c>
      <c r="F155" s="184"/>
      <c r="I155" s="185"/>
      <c r="J155" s="185"/>
    </row>
    <row r="156" ht="13.5">
      <c r="A156" s="190" t="s">
        <v>83</v>
      </c>
      <c r="B156" s="191" t="s">
        <v>43</v>
      </c>
      <c r="C156" s="136">
        <f>C140</f>
        <v>2</v>
      </c>
      <c r="D156" s="192">
        <f>E155</f>
        <v>2429.2468749999998</v>
      </c>
      <c r="E156" s="141">
        <f>C156*D156</f>
        <v>4858.4937499999996</v>
      </c>
      <c r="F156" s="184"/>
      <c r="I156" s="185"/>
      <c r="J156" s="185"/>
    </row>
    <row r="157" ht="13.5">
      <c r="A157" s="63"/>
      <c r="B157" s="63"/>
      <c r="C157" s="198"/>
      <c r="D157" s="144" t="s">
        <v>34</v>
      </c>
      <c r="E157" s="145">
        <v>1</v>
      </c>
      <c r="F157" s="181">
        <f>E156*E157</f>
        <v>4858.4937499999996</v>
      </c>
      <c r="I157" s="185"/>
      <c r="J157" s="185"/>
    </row>
    <row r="158" ht="11.25" customHeight="1">
      <c r="A158" s="63"/>
      <c r="B158" s="63"/>
      <c r="C158" s="63"/>
      <c r="D158" s="64"/>
      <c r="E158" s="64"/>
      <c r="F158" s="64"/>
      <c r="I158" s="185"/>
      <c r="J158" s="185"/>
    </row>
    <row r="159" ht="13.5">
      <c r="A159" s="63" t="s">
        <v>94</v>
      </c>
      <c r="B159" s="63"/>
      <c r="C159" s="63"/>
      <c r="D159" s="64"/>
      <c r="E159" s="64"/>
      <c r="F159" s="64"/>
      <c r="I159" s="185"/>
      <c r="J159" s="185"/>
    </row>
    <row r="160" ht="13.5">
      <c r="A160" s="128" t="s">
        <v>21</v>
      </c>
      <c r="B160" s="129" t="s">
        <v>22</v>
      </c>
      <c r="C160" s="129" t="s">
        <v>14</v>
      </c>
      <c r="D160" s="130" t="s">
        <v>23</v>
      </c>
      <c r="E160" s="130" t="s">
        <v>24</v>
      </c>
      <c r="F160" s="131" t="s">
        <v>25</v>
      </c>
      <c r="I160" s="185"/>
      <c r="J160" s="185"/>
    </row>
    <row r="161">
      <c r="A161" s="132" t="s">
        <v>95</v>
      </c>
      <c r="B161" s="133" t="s">
        <v>43</v>
      </c>
      <c r="C161" s="134">
        <f>C140</f>
        <v>2</v>
      </c>
      <c r="D161" s="134">
        <f>0.01*($E$129)</f>
        <v>2800</v>
      </c>
      <c r="E161" s="134">
        <f t="shared" ref="E161:E163" si="5">C161*D161</f>
        <v>5600</v>
      </c>
      <c r="F161" s="64"/>
      <c r="I161" s="185"/>
      <c r="J161" s="185"/>
    </row>
    <row r="162">
      <c r="A162" s="135" t="s">
        <v>96</v>
      </c>
      <c r="B162" s="136" t="s">
        <v>43</v>
      </c>
      <c r="C162" s="134">
        <f>C140</f>
        <v>2</v>
      </c>
      <c r="D162" s="199">
        <v>2150</v>
      </c>
      <c r="E162" s="137">
        <f t="shared" si="5"/>
        <v>4300</v>
      </c>
      <c r="F162" s="64"/>
      <c r="I162" s="185"/>
      <c r="J162" s="185"/>
    </row>
    <row r="163">
      <c r="A163" s="135" t="s">
        <v>97</v>
      </c>
      <c r="B163" s="136" t="s">
        <v>43</v>
      </c>
      <c r="C163" s="134">
        <f>C140</f>
        <v>2</v>
      </c>
      <c r="D163" s="199">
        <v>3000</v>
      </c>
      <c r="E163" s="137">
        <f t="shared" si="5"/>
        <v>6000</v>
      </c>
      <c r="F163" s="140"/>
      <c r="I163" s="185"/>
      <c r="J163" s="185"/>
    </row>
    <row r="164" ht="13.5">
      <c r="A164" s="190" t="s">
        <v>98</v>
      </c>
      <c r="B164" s="191" t="s">
        <v>27</v>
      </c>
      <c r="C164" s="191">
        <v>12</v>
      </c>
      <c r="D164" s="192">
        <f>SUM(E161:E163)</f>
        <v>15900</v>
      </c>
      <c r="E164" s="192">
        <f>D164/C164</f>
        <v>1325</v>
      </c>
      <c r="F164" s="64"/>
      <c r="I164" s="185"/>
      <c r="J164" s="185"/>
    </row>
    <row r="165" ht="13.5">
      <c r="A165" s="63"/>
      <c r="B165" s="63"/>
      <c r="C165" s="63"/>
      <c r="D165" s="144" t="s">
        <v>34</v>
      </c>
      <c r="E165" s="145">
        <v>1</v>
      </c>
      <c r="F165" s="146">
        <f>E164*E165</f>
        <v>1325</v>
      </c>
      <c r="I165" s="185"/>
      <c r="J165" s="185"/>
    </row>
    <row r="166" ht="11.25" customHeight="1">
      <c r="A166" s="63"/>
      <c r="B166" s="63"/>
      <c r="C166" s="63"/>
      <c r="D166" s="64"/>
      <c r="E166" s="64"/>
      <c r="F166" s="64"/>
      <c r="I166" s="185"/>
      <c r="J166" s="185"/>
    </row>
    <row r="167">
      <c r="A167" s="63" t="s">
        <v>99</v>
      </c>
      <c r="B167" s="200"/>
      <c r="C167" s="63"/>
      <c r="D167" s="64"/>
      <c r="E167" s="64"/>
      <c r="F167" s="64"/>
      <c r="I167" s="185"/>
      <c r="J167" s="185"/>
    </row>
    <row r="168">
      <c r="A168" s="63"/>
      <c r="B168" s="200"/>
      <c r="C168" s="63"/>
      <c r="D168" s="64"/>
      <c r="E168" s="64"/>
      <c r="F168" s="64"/>
      <c r="I168" s="185"/>
      <c r="J168" s="185"/>
    </row>
    <row r="169">
      <c r="A169" s="190" t="s">
        <v>100</v>
      </c>
      <c r="B169" s="201">
        <f>22*2*12*3</f>
        <v>1584</v>
      </c>
      <c r="C169" s="200"/>
      <c r="D169" s="64"/>
      <c r="E169" s="64"/>
      <c r="F169" s="64"/>
      <c r="I169" s="185"/>
      <c r="J169" s="185"/>
    </row>
    <row r="170" ht="13.5">
      <c r="A170" s="63"/>
      <c r="B170" s="200"/>
      <c r="C170" s="63"/>
      <c r="D170" s="64"/>
      <c r="E170" s="64"/>
      <c r="F170" s="64"/>
      <c r="I170" s="185"/>
      <c r="J170" s="185"/>
    </row>
    <row r="171" ht="13.5">
      <c r="A171" s="128" t="s">
        <v>21</v>
      </c>
      <c r="B171" s="129" t="s">
        <v>22</v>
      </c>
      <c r="C171" s="129" t="s">
        <v>101</v>
      </c>
      <c r="D171" s="130" t="s">
        <v>23</v>
      </c>
      <c r="E171" s="130" t="s">
        <v>24</v>
      </c>
      <c r="F171" s="131" t="s">
        <v>25</v>
      </c>
      <c r="I171" s="185"/>
      <c r="J171" s="185"/>
    </row>
    <row r="172">
      <c r="A172" s="132" t="s">
        <v>102</v>
      </c>
      <c r="B172" s="133" t="s">
        <v>103</v>
      </c>
      <c r="C172" s="202">
        <v>5</v>
      </c>
      <c r="D172" s="203">
        <v>5.6600000000000001</v>
      </c>
      <c r="E172" s="134"/>
      <c r="F172" s="64"/>
      <c r="I172" s="185"/>
      <c r="J172" s="185"/>
    </row>
    <row r="173">
      <c r="A173" s="135" t="s">
        <v>104</v>
      </c>
      <c r="B173" s="136" t="s">
        <v>105</v>
      </c>
      <c r="C173" s="148">
        <f>B169</f>
        <v>1584</v>
      </c>
      <c r="D173" s="204">
        <f>IFERROR(+D172/C172,"-")</f>
        <v>1.1320000000000001</v>
      </c>
      <c r="E173" s="137">
        <f>IFERROR(C173*D173,"-")</f>
        <v>1793.0880000000002</v>
      </c>
      <c r="F173" s="64"/>
      <c r="I173" s="185"/>
      <c r="J173" s="185"/>
    </row>
    <row r="174">
      <c r="A174" s="135" t="s">
        <v>106</v>
      </c>
      <c r="B174" s="136" t="s">
        <v>107</v>
      </c>
      <c r="C174" s="205">
        <v>0.5</v>
      </c>
      <c r="D174" s="199">
        <v>19.77</v>
      </c>
      <c r="E174" s="137"/>
      <c r="F174" s="64"/>
      <c r="G174" s="2"/>
      <c r="H174" s="1"/>
      <c r="I174" s="185"/>
      <c r="J174" s="185"/>
    </row>
    <row r="175">
      <c r="A175" s="135" t="s">
        <v>108</v>
      </c>
      <c r="B175" s="136" t="s">
        <v>105</v>
      </c>
      <c r="C175" s="148">
        <f>C173</f>
        <v>1584</v>
      </c>
      <c r="D175" s="206">
        <f>+C174*D174/1000</f>
        <v>9.8849999999999997e-003</v>
      </c>
      <c r="E175" s="137">
        <f>C175*D175</f>
        <v>15.65784</v>
      </c>
      <c r="F175" s="64"/>
      <c r="G175" s="2"/>
      <c r="H175" s="1"/>
      <c r="I175" s="185"/>
      <c r="J175" s="185"/>
    </row>
    <row r="176">
      <c r="A176" s="135" t="s">
        <v>109</v>
      </c>
      <c r="B176" s="136" t="s">
        <v>107</v>
      </c>
      <c r="C176" s="205">
        <v>0.14999999999999999</v>
      </c>
      <c r="D176" s="199">
        <v>35</v>
      </c>
      <c r="E176" s="137"/>
      <c r="F176" s="64"/>
      <c r="G176" s="2"/>
      <c r="H176" s="1"/>
      <c r="I176" s="185"/>
      <c r="J176" s="185"/>
    </row>
    <row r="177">
      <c r="A177" s="135" t="s">
        <v>110</v>
      </c>
      <c r="B177" s="136" t="s">
        <v>105</v>
      </c>
      <c r="C177" s="148">
        <f>C173</f>
        <v>1584</v>
      </c>
      <c r="D177" s="206">
        <f>+C176*D176/1000</f>
        <v>5.2500000000000003e-003</v>
      </c>
      <c r="E177" s="137">
        <f>C177*D177</f>
        <v>8.3160000000000007</v>
      </c>
      <c r="F177" s="64"/>
      <c r="G177" s="2"/>
      <c r="H177" s="1"/>
      <c r="I177" s="185"/>
      <c r="J177" s="185"/>
    </row>
    <row r="178">
      <c r="A178" s="135" t="s">
        <v>111</v>
      </c>
      <c r="B178" s="136" t="s">
        <v>107</v>
      </c>
      <c r="C178" s="205">
        <v>0.14999999999999999</v>
      </c>
      <c r="D178" s="199">
        <v>26</v>
      </c>
      <c r="E178" s="137"/>
      <c r="F178" s="64"/>
      <c r="G178" s="2"/>
      <c r="H178" s="1"/>
      <c r="I178" s="185"/>
      <c r="J178" s="185"/>
    </row>
    <row r="179">
      <c r="A179" s="135" t="s">
        <v>112</v>
      </c>
      <c r="B179" s="136" t="s">
        <v>105</v>
      </c>
      <c r="C179" s="148">
        <f>C173</f>
        <v>1584</v>
      </c>
      <c r="D179" s="206">
        <f>+C178*D178/1000</f>
        <v>3.8999999999999998e-003</v>
      </c>
      <c r="E179" s="137">
        <f>C179*D179</f>
        <v>6.1776</v>
      </c>
      <c r="F179" s="64"/>
      <c r="G179" s="2"/>
      <c r="H179" s="1"/>
      <c r="I179" s="185"/>
      <c r="J179" s="185"/>
    </row>
    <row r="180">
      <c r="A180" s="135" t="s">
        <v>113</v>
      </c>
      <c r="B180" s="136" t="s">
        <v>114</v>
      </c>
      <c r="C180" s="205">
        <v>0.29999999999999999</v>
      </c>
      <c r="D180" s="199">
        <v>23</v>
      </c>
      <c r="E180" s="137"/>
      <c r="F180" s="64"/>
      <c r="G180" s="2"/>
      <c r="H180" s="1"/>
      <c r="I180" s="185"/>
      <c r="J180" s="185"/>
    </row>
    <row r="181">
      <c r="A181" s="135" t="s">
        <v>115</v>
      </c>
      <c r="B181" s="136" t="s">
        <v>105</v>
      </c>
      <c r="C181" s="148">
        <f>C173</f>
        <v>1584</v>
      </c>
      <c r="D181" s="206">
        <f>+C180*D180/1000</f>
        <v>6.8999999999999999e-003</v>
      </c>
      <c r="E181" s="137">
        <f>C181*D181</f>
        <v>10.929600000000001</v>
      </c>
      <c r="F181" s="64"/>
      <c r="G181" s="2"/>
      <c r="H181" s="1"/>
      <c r="I181" s="185"/>
      <c r="J181" s="185"/>
    </row>
    <row r="182" ht="13.5">
      <c r="A182" s="190" t="s">
        <v>116</v>
      </c>
      <c r="B182" s="191" t="s">
        <v>117</v>
      </c>
      <c r="C182" s="207"/>
      <c r="D182" s="208">
        <f>IFERROR(D173+D175+D177+D179+D181,0)</f>
        <v>1.1579349999999999</v>
      </c>
      <c r="E182" s="137"/>
      <c r="F182" s="64"/>
      <c r="G182" s="2"/>
      <c r="H182" s="1"/>
      <c r="I182" s="185"/>
      <c r="J182" s="185"/>
    </row>
    <row r="183" ht="13.5">
      <c r="A183" s="63"/>
      <c r="B183" s="63"/>
      <c r="C183" s="63"/>
      <c r="D183" s="64"/>
      <c r="E183" s="64"/>
      <c r="F183" s="181">
        <f>SUM(E172:E181)</f>
        <v>1834.1690400000002</v>
      </c>
      <c r="I183" s="185"/>
      <c r="J183" s="185"/>
    </row>
    <row r="184" ht="11.25" customHeight="1">
      <c r="A184" s="63"/>
      <c r="B184" s="63"/>
      <c r="C184" s="63"/>
      <c r="D184" s="64"/>
      <c r="E184" s="64"/>
      <c r="F184" s="64"/>
      <c r="I184" s="185"/>
      <c r="J184" s="185"/>
    </row>
    <row r="185" ht="13.5">
      <c r="A185" s="63" t="s">
        <v>118</v>
      </c>
      <c r="B185" s="63"/>
      <c r="C185" s="63"/>
      <c r="D185" s="64"/>
      <c r="E185" s="64"/>
      <c r="F185" s="64"/>
      <c r="G185" s="17"/>
      <c r="I185" s="185"/>
      <c r="J185" s="185"/>
    </row>
    <row r="186" ht="13.5">
      <c r="A186" s="194" t="s">
        <v>21</v>
      </c>
      <c r="B186" s="195" t="s">
        <v>22</v>
      </c>
      <c r="C186" s="195" t="s">
        <v>14</v>
      </c>
      <c r="D186" s="196" t="s">
        <v>23</v>
      </c>
      <c r="E186" s="196" t="s">
        <v>24</v>
      </c>
      <c r="F186" s="209" t="s">
        <v>25</v>
      </c>
      <c r="G186" s="17"/>
      <c r="I186" s="185"/>
      <c r="J186" s="185"/>
    </row>
    <row r="187" ht="13.5">
      <c r="A187" s="210" t="s">
        <v>119</v>
      </c>
      <c r="B187" s="211" t="s">
        <v>117</v>
      </c>
      <c r="C187" s="211">
        <f>C173</f>
        <v>1584</v>
      </c>
      <c r="D187" s="211">
        <v>1</v>
      </c>
      <c r="E187" s="212">
        <f>C187*D187</f>
        <v>1584</v>
      </c>
      <c r="F187" s="213"/>
      <c r="I187" s="185"/>
      <c r="J187" s="185"/>
    </row>
    <row r="188" ht="13.5">
      <c r="A188" s="214"/>
      <c r="B188" s="214"/>
      <c r="C188" s="214"/>
      <c r="D188" s="214"/>
      <c r="E188" s="214"/>
      <c r="F188" s="215">
        <f>E187</f>
        <v>1584</v>
      </c>
      <c r="I188" s="185"/>
      <c r="J188" s="185"/>
    </row>
    <row r="189" ht="11.25" customHeight="1">
      <c r="A189" s="214"/>
      <c r="B189" s="214"/>
      <c r="C189" s="214"/>
      <c r="D189" s="214"/>
      <c r="E189" s="214"/>
      <c r="F189" s="214"/>
      <c r="I189" s="185"/>
      <c r="J189" s="185"/>
    </row>
    <row r="190" ht="13.5">
      <c r="A190" s="214" t="s">
        <v>120</v>
      </c>
      <c r="B190" s="214"/>
      <c r="C190" s="214"/>
      <c r="D190" s="214"/>
      <c r="E190" s="214"/>
      <c r="F190" s="214"/>
      <c r="I190" s="185"/>
      <c r="J190" s="185"/>
    </row>
    <row r="191" ht="13.5">
      <c r="A191" s="128" t="s">
        <v>21</v>
      </c>
      <c r="B191" s="129" t="s">
        <v>22</v>
      </c>
      <c r="C191" s="129" t="s">
        <v>14</v>
      </c>
      <c r="D191" s="130" t="s">
        <v>23</v>
      </c>
      <c r="E191" s="130" t="s">
        <v>24</v>
      </c>
      <c r="F191" s="131" t="s">
        <v>25</v>
      </c>
      <c r="I191" s="185"/>
      <c r="J191" s="185"/>
    </row>
    <row r="192">
      <c r="A192" s="132" t="s">
        <v>121</v>
      </c>
      <c r="B192" s="133" t="s">
        <v>43</v>
      </c>
      <c r="C192" s="216">
        <v>6</v>
      </c>
      <c r="D192" s="175">
        <v>1600</v>
      </c>
      <c r="E192" s="134">
        <f>C192*D192</f>
        <v>9600</v>
      </c>
      <c r="F192" s="64"/>
      <c r="I192" s="185"/>
      <c r="J192" s="185"/>
    </row>
    <row r="193">
      <c r="A193" s="132" t="s">
        <v>122</v>
      </c>
      <c r="B193" s="133" t="s">
        <v>43</v>
      </c>
      <c r="C193" s="216">
        <v>2</v>
      </c>
      <c r="D193" s="134"/>
      <c r="E193" s="134"/>
      <c r="F193" s="64"/>
      <c r="I193" s="185"/>
      <c r="J193" s="185"/>
    </row>
    <row r="194">
      <c r="A194" s="132" t="s">
        <v>123</v>
      </c>
      <c r="B194" s="133" t="s">
        <v>43</v>
      </c>
      <c r="C194" s="134">
        <f>C192*C193</f>
        <v>12</v>
      </c>
      <c r="D194" s="175">
        <v>500</v>
      </c>
      <c r="E194" s="134">
        <f>C194*D194</f>
        <v>6000</v>
      </c>
      <c r="F194" s="64"/>
      <c r="I194" s="185"/>
      <c r="J194" s="185"/>
    </row>
    <row r="195">
      <c r="A195" s="135" t="s">
        <v>124</v>
      </c>
      <c r="B195" s="136" t="s">
        <v>125</v>
      </c>
      <c r="C195" s="217">
        <v>50000</v>
      </c>
      <c r="D195" s="137">
        <f>E192+E194</f>
        <v>15600</v>
      </c>
      <c r="E195" s="137">
        <f>IFERROR(D195/C195,"-")</f>
        <v>0.312</v>
      </c>
      <c r="F195" s="64"/>
      <c r="I195" s="185"/>
      <c r="J195" s="185"/>
    </row>
    <row r="196" ht="13.5">
      <c r="A196" s="135" t="s">
        <v>126</v>
      </c>
      <c r="B196" s="136" t="s">
        <v>105</v>
      </c>
      <c r="C196" s="148">
        <f>B169</f>
        <v>1584</v>
      </c>
      <c r="D196" s="137">
        <f>E195</f>
        <v>0.312</v>
      </c>
      <c r="E196" s="137">
        <f>IFERROR(C196*D196,0)</f>
        <v>494.20800000000003</v>
      </c>
      <c r="F196" s="64"/>
      <c r="I196" s="185"/>
      <c r="J196" s="185"/>
    </row>
    <row r="197" ht="13.5">
      <c r="A197" s="63"/>
      <c r="B197" s="63"/>
      <c r="C197" s="63"/>
      <c r="D197" s="64"/>
      <c r="E197" s="64"/>
      <c r="F197" s="181">
        <f>E196</f>
        <v>494.20800000000003</v>
      </c>
      <c r="I197" s="185"/>
      <c r="J197" s="185"/>
    </row>
    <row r="198" ht="11.25" customHeight="1">
      <c r="E198" s="2"/>
      <c r="I198" s="185"/>
      <c r="J198" s="185"/>
    </row>
    <row r="199" ht="11.25" customHeight="1">
      <c r="A199" s="218" t="s">
        <v>127</v>
      </c>
      <c r="B199" s="218"/>
      <c r="C199" s="218"/>
      <c r="D199" s="218"/>
      <c r="E199" s="2"/>
      <c r="I199" s="185"/>
      <c r="J199" s="185"/>
    </row>
    <row r="200" ht="11.25" customHeight="1">
      <c r="C200" s="1"/>
      <c r="D200" s="2"/>
      <c r="E200" s="2"/>
      <c r="I200" s="185"/>
      <c r="J200" s="185"/>
    </row>
    <row r="201" ht="11.25" customHeight="1">
      <c r="A201" s="182" t="s">
        <v>128</v>
      </c>
      <c r="C201" s="1"/>
      <c r="D201" s="2"/>
      <c r="E201" s="2"/>
      <c r="I201" s="185"/>
      <c r="J201" s="185"/>
    </row>
    <row r="202" ht="11.25" customHeight="1">
      <c r="A202" s="107" t="s">
        <v>21</v>
      </c>
      <c r="B202" s="108" t="s">
        <v>22</v>
      </c>
      <c r="C202" s="108" t="s">
        <v>14</v>
      </c>
      <c r="D202" s="109" t="s">
        <v>23</v>
      </c>
      <c r="E202" s="109" t="s">
        <v>24</v>
      </c>
      <c r="F202" s="110" t="s">
        <v>25</v>
      </c>
      <c r="I202" s="185"/>
      <c r="J202" s="185"/>
    </row>
    <row r="203" ht="11.25" customHeight="1">
      <c r="A203" s="111" t="s">
        <v>71</v>
      </c>
      <c r="B203" s="112" t="s">
        <v>43</v>
      </c>
      <c r="C203" s="112">
        <v>1</v>
      </c>
      <c r="D203" s="113">
        <v>145000</v>
      </c>
      <c r="E203" s="114">
        <f>C203*D203</f>
        <v>145000</v>
      </c>
      <c r="F203" s="2"/>
      <c r="I203" s="185"/>
      <c r="J203" s="185"/>
    </row>
    <row r="204" ht="11.25" customHeight="1">
      <c r="A204" s="115" t="s">
        <v>72</v>
      </c>
      <c r="B204" s="116" t="s">
        <v>73</v>
      </c>
      <c r="C204" s="123">
        <v>10</v>
      </c>
      <c r="D204" s="117"/>
      <c r="E204" s="117"/>
      <c r="F204" s="2"/>
      <c r="I204" s="185"/>
      <c r="J204" s="185"/>
    </row>
    <row r="205" ht="11.25" customHeight="1">
      <c r="A205" s="115" t="s">
        <v>74</v>
      </c>
      <c r="B205" s="116" t="s">
        <v>73</v>
      </c>
      <c r="C205" s="123">
        <v>0</v>
      </c>
      <c r="D205" s="117"/>
      <c r="E205" s="117"/>
      <c r="F205" s="219"/>
      <c r="I205" s="185"/>
      <c r="J205" s="185"/>
    </row>
    <row r="206" ht="11.25" customHeight="1">
      <c r="A206" s="115" t="s">
        <v>75</v>
      </c>
      <c r="B206" s="116" t="s">
        <v>8</v>
      </c>
      <c r="C206" s="122">
        <v>65.180000000000007</v>
      </c>
      <c r="D206" s="117">
        <f>E203</f>
        <v>145000</v>
      </c>
      <c r="E206" s="117">
        <f>C206*D206/100</f>
        <v>94511.000000000015</v>
      </c>
      <c r="F206" s="2"/>
      <c r="I206" s="185"/>
      <c r="J206" s="185"/>
    </row>
    <row r="207" ht="11.25" customHeight="1">
      <c r="A207" s="220" t="s">
        <v>129</v>
      </c>
      <c r="B207" s="221" t="s">
        <v>27</v>
      </c>
      <c r="C207" s="221">
        <f>C204*12</f>
        <v>120</v>
      </c>
      <c r="D207" s="222">
        <f>IF(C205&lt;=C204,E206,0)</f>
        <v>94511.000000000015</v>
      </c>
      <c r="E207" s="222">
        <f>IFERROR(D207/C207,0)</f>
        <v>787.59166666666681</v>
      </c>
      <c r="F207" s="2"/>
      <c r="I207" s="185"/>
      <c r="J207" s="185"/>
    </row>
    <row r="208" ht="11.25" customHeight="1">
      <c r="A208" s="118" t="s">
        <v>82</v>
      </c>
      <c r="B208" s="119"/>
      <c r="C208" s="119"/>
      <c r="D208" s="120"/>
      <c r="E208" s="121">
        <v>787.59000000000003</v>
      </c>
      <c r="F208" s="2"/>
      <c r="I208" s="185"/>
      <c r="J208" s="185"/>
    </row>
    <row r="209" ht="11.25" customHeight="1">
      <c r="A209" s="223" t="s">
        <v>83</v>
      </c>
      <c r="B209" s="224" t="s">
        <v>43</v>
      </c>
      <c r="C209" s="123">
        <v>2</v>
      </c>
      <c r="D209" s="225">
        <f>E208</f>
        <v>787.59000000000003</v>
      </c>
      <c r="E209" s="121">
        <f>C209*D209</f>
        <v>1575.1800000000001</v>
      </c>
      <c r="F209" s="2"/>
      <c r="I209" s="185"/>
      <c r="J209" s="185"/>
    </row>
    <row r="210" ht="11.25" customHeight="1">
      <c r="A210" s="226"/>
      <c r="B210" s="226"/>
      <c r="C210" s="226"/>
      <c r="D210" s="124" t="s">
        <v>34</v>
      </c>
      <c r="E210" s="125">
        <v>1</v>
      </c>
      <c r="F210" s="227">
        <f>E209*E210</f>
        <v>1575.1800000000001</v>
      </c>
      <c r="I210" s="185"/>
      <c r="J210" s="185"/>
    </row>
    <row r="211" ht="11.25" customHeight="1">
      <c r="C211" s="1"/>
      <c r="D211" s="2"/>
      <c r="E211" s="2"/>
      <c r="I211" s="185"/>
      <c r="J211" s="185"/>
    </row>
    <row r="212" ht="11.25" customHeight="1">
      <c r="A212" s="182" t="s">
        <v>130</v>
      </c>
      <c r="C212" s="1"/>
      <c r="D212" s="2"/>
      <c r="E212" s="2"/>
      <c r="I212" s="185"/>
      <c r="J212" s="185"/>
    </row>
    <row r="213" ht="11.25" customHeight="1">
      <c r="A213" s="228" t="s">
        <v>21</v>
      </c>
      <c r="B213" s="229" t="s">
        <v>22</v>
      </c>
      <c r="C213" s="229" t="s">
        <v>14</v>
      </c>
      <c r="D213" s="109" t="s">
        <v>23</v>
      </c>
      <c r="E213" s="230" t="s">
        <v>24</v>
      </c>
      <c r="F213" s="110" t="s">
        <v>25</v>
      </c>
      <c r="I213" s="185"/>
      <c r="J213" s="185"/>
    </row>
    <row r="214" ht="11.25" customHeight="1">
      <c r="A214" s="115" t="s">
        <v>85</v>
      </c>
      <c r="B214" s="116" t="s">
        <v>43</v>
      </c>
      <c r="C214" s="112">
        <v>1</v>
      </c>
      <c r="D214" s="117">
        <f>D203</f>
        <v>145000</v>
      </c>
      <c r="E214" s="117">
        <f>C214*D214</f>
        <v>145000</v>
      </c>
      <c r="F214" s="219"/>
      <c r="I214" s="185"/>
      <c r="J214" s="185"/>
    </row>
    <row r="215" ht="11.25" customHeight="1">
      <c r="A215" s="115" t="s">
        <v>86</v>
      </c>
      <c r="B215" s="116" t="s">
        <v>8</v>
      </c>
      <c r="C215" s="123">
        <v>13.75</v>
      </c>
      <c r="D215" s="117"/>
      <c r="E215" s="117"/>
      <c r="F215" s="219"/>
      <c r="I215" s="185"/>
      <c r="J215" s="185"/>
    </row>
    <row r="216" ht="11.25" customHeight="1">
      <c r="A216" s="115" t="s">
        <v>87</v>
      </c>
      <c r="B216" s="116" t="s">
        <v>37</v>
      </c>
      <c r="C216" s="231">
        <f>IFERROR(IF(C205&lt;=C204,E203-(C206/(100*C204)*C205)*E203,E203-E206),0)</f>
        <v>145000</v>
      </c>
      <c r="D216" s="117"/>
      <c r="E216" s="117"/>
      <c r="F216" s="219"/>
      <c r="I216" s="185"/>
      <c r="J216" s="185"/>
    </row>
    <row r="217" ht="11.25" customHeight="1">
      <c r="A217" s="115" t="s">
        <v>88</v>
      </c>
      <c r="B217" s="116" t="s">
        <v>37</v>
      </c>
      <c r="C217" s="117">
        <f>IFERROR(IF(C205&gt;=C204,C216,((((C216)-(E203-E206))*(((C204-C205)+1)/(2*(C204-C205))))+(E203-E206))),0)</f>
        <v>102470.04999999999</v>
      </c>
      <c r="D217" s="117"/>
      <c r="E217" s="117"/>
      <c r="F217" s="219"/>
      <c r="I217" s="185"/>
      <c r="J217" s="185"/>
    </row>
    <row r="218" ht="11.25" customHeight="1">
      <c r="A218" s="220" t="s">
        <v>131</v>
      </c>
      <c r="B218" s="221" t="s">
        <v>37</v>
      </c>
      <c r="C218" s="221"/>
      <c r="D218" s="222">
        <f>C215*C217/12/100</f>
        <v>1174.1359895833332</v>
      </c>
      <c r="E218" s="222">
        <f>D218</f>
        <v>1174.1359895833332</v>
      </c>
      <c r="F218" s="219"/>
      <c r="I218" s="185"/>
      <c r="J218" s="185"/>
    </row>
    <row r="219" ht="11.25" customHeight="1">
      <c r="A219" s="118" t="s">
        <v>82</v>
      </c>
      <c r="B219" s="119"/>
      <c r="C219" s="119"/>
      <c r="D219" s="120"/>
      <c r="E219" s="121">
        <f>D218</f>
        <v>1174.1359895833332</v>
      </c>
      <c r="F219" s="219"/>
      <c r="I219" s="185"/>
      <c r="J219" s="185"/>
    </row>
    <row r="220" ht="11.25" customHeight="1">
      <c r="A220" s="223" t="s">
        <v>83</v>
      </c>
      <c r="B220" s="224" t="s">
        <v>43</v>
      </c>
      <c r="C220" s="116">
        <f>C209</f>
        <v>2</v>
      </c>
      <c r="D220" s="225">
        <f>E219</f>
        <v>1174.1359895833332</v>
      </c>
      <c r="E220" s="121">
        <f>C220*D220</f>
        <v>2348.2719791666664</v>
      </c>
      <c r="F220" s="219"/>
      <c r="I220" s="185"/>
      <c r="J220" s="185"/>
    </row>
    <row r="221" ht="11.25" customHeight="1">
      <c r="C221" s="232"/>
      <c r="D221" s="124" t="s">
        <v>34</v>
      </c>
      <c r="E221" s="125">
        <v>1</v>
      </c>
      <c r="F221" s="227">
        <f>E220*E221</f>
        <v>2348.2719791666664</v>
      </c>
      <c r="I221" s="185"/>
      <c r="J221" s="185"/>
    </row>
    <row r="222" ht="11.25" customHeight="1">
      <c r="C222" s="1"/>
      <c r="D222" s="2"/>
      <c r="E222" s="2"/>
      <c r="F222" s="2"/>
      <c r="I222" s="185"/>
      <c r="J222" s="185"/>
    </row>
    <row r="223" ht="11.25" customHeight="1">
      <c r="A223" s="1" t="s">
        <v>132</v>
      </c>
      <c r="C223" s="1"/>
      <c r="D223" s="2"/>
      <c r="E223" s="2"/>
      <c r="F223" s="2"/>
      <c r="I223" s="185"/>
      <c r="J223" s="185"/>
    </row>
    <row r="224" ht="11.25" customHeight="1">
      <c r="A224" s="107" t="s">
        <v>21</v>
      </c>
      <c r="B224" s="108" t="s">
        <v>22</v>
      </c>
      <c r="C224" s="108" t="s">
        <v>14</v>
      </c>
      <c r="D224" s="109" t="s">
        <v>23</v>
      </c>
      <c r="E224" s="109" t="s">
        <v>24</v>
      </c>
      <c r="F224" s="110" t="s">
        <v>25</v>
      </c>
      <c r="I224" s="185"/>
      <c r="J224" s="185"/>
    </row>
    <row r="225" ht="11.25" customHeight="1">
      <c r="A225" s="111" t="s">
        <v>95</v>
      </c>
      <c r="B225" s="112" t="s">
        <v>43</v>
      </c>
      <c r="C225" s="114">
        <f>C209</f>
        <v>2</v>
      </c>
      <c r="D225" s="114">
        <v>1450</v>
      </c>
      <c r="E225" s="114">
        <f t="shared" ref="E225:E227" si="6">C225*D225</f>
        <v>2900</v>
      </c>
      <c r="F225" s="2"/>
      <c r="I225" s="185"/>
      <c r="J225" s="185"/>
    </row>
    <row r="226" ht="11.25" customHeight="1">
      <c r="A226" s="115" t="s">
        <v>96</v>
      </c>
      <c r="B226" s="116" t="s">
        <v>43</v>
      </c>
      <c r="C226" s="114">
        <f>C209</f>
        <v>2</v>
      </c>
      <c r="D226" s="233">
        <v>140</v>
      </c>
      <c r="E226" s="117">
        <f t="shared" si="6"/>
        <v>280</v>
      </c>
      <c r="F226" s="2"/>
      <c r="I226" s="185"/>
      <c r="J226" s="185"/>
    </row>
    <row r="227" ht="11.25" customHeight="1">
      <c r="A227" s="115" t="s">
        <v>97</v>
      </c>
      <c r="B227" s="116" t="s">
        <v>43</v>
      </c>
      <c r="C227" s="114">
        <f>C209</f>
        <v>2</v>
      </c>
      <c r="D227" s="233">
        <v>3000</v>
      </c>
      <c r="E227" s="117">
        <f t="shared" si="6"/>
        <v>6000</v>
      </c>
      <c r="F227" s="120"/>
      <c r="I227" s="185"/>
      <c r="J227" s="185"/>
    </row>
    <row r="228" ht="11.25" customHeight="1">
      <c r="A228" s="223" t="s">
        <v>98</v>
      </c>
      <c r="B228" s="224" t="s">
        <v>27</v>
      </c>
      <c r="C228" s="224">
        <v>12</v>
      </c>
      <c r="D228" s="225">
        <f>SUM(E225:E227)</f>
        <v>9180</v>
      </c>
      <c r="E228" s="225">
        <f>D228/C228</f>
        <v>765</v>
      </c>
      <c r="F228" s="2"/>
      <c r="I228" s="185"/>
      <c r="J228" s="185"/>
    </row>
    <row r="229" ht="11.25" customHeight="1">
      <c r="B229" s="1"/>
      <c r="D229" s="124" t="s">
        <v>34</v>
      </c>
      <c r="E229" s="125">
        <v>1</v>
      </c>
      <c r="F229" s="126">
        <f>E228*E229</f>
        <v>765</v>
      </c>
      <c r="I229" s="185"/>
      <c r="J229" s="185"/>
    </row>
    <row r="230" ht="11.25" customHeight="1">
      <c r="B230" s="1"/>
      <c r="C230" s="1"/>
      <c r="D230" s="2"/>
      <c r="E230" s="2"/>
      <c r="I230" s="185"/>
      <c r="J230" s="185"/>
    </row>
    <row r="231" ht="11.25" customHeight="1">
      <c r="A231" s="1" t="s">
        <v>133</v>
      </c>
      <c r="B231" s="234"/>
      <c r="C231" s="1"/>
      <c r="D231" s="2"/>
      <c r="E231" s="2"/>
      <c r="I231" s="185"/>
      <c r="J231" s="185"/>
    </row>
    <row r="232" ht="11.25" customHeight="1">
      <c r="B232" s="234"/>
      <c r="C232" s="1"/>
      <c r="D232" s="2"/>
      <c r="E232" s="2"/>
      <c r="I232" s="185"/>
      <c r="J232" s="185"/>
    </row>
    <row r="233" ht="11.25" customHeight="1">
      <c r="A233" s="223" t="s">
        <v>100</v>
      </c>
      <c r="B233" s="235">
        <f>22*40*2</f>
        <v>1760</v>
      </c>
      <c r="C233" s="1"/>
      <c r="D233" s="2"/>
      <c r="E233" s="2"/>
      <c r="I233" s="185"/>
      <c r="J233" s="185"/>
    </row>
    <row r="234" ht="11.25" customHeight="1">
      <c r="B234" s="234"/>
      <c r="C234" s="1"/>
      <c r="D234" s="2"/>
      <c r="E234" s="2"/>
      <c r="I234" s="185"/>
      <c r="J234" s="185"/>
    </row>
    <row r="235" ht="11.25" customHeight="1">
      <c r="A235" s="107" t="s">
        <v>21</v>
      </c>
      <c r="B235" s="108" t="s">
        <v>22</v>
      </c>
      <c r="C235" s="108" t="s">
        <v>101</v>
      </c>
      <c r="D235" s="109" t="s">
        <v>23</v>
      </c>
      <c r="E235" s="109" t="s">
        <v>24</v>
      </c>
      <c r="F235" s="110" t="s">
        <v>25</v>
      </c>
      <c r="I235" s="185"/>
      <c r="J235" s="185"/>
    </row>
    <row r="236" ht="11.25" customHeight="1">
      <c r="A236" s="111" t="s">
        <v>102</v>
      </c>
      <c r="B236" s="112" t="s">
        <v>103</v>
      </c>
      <c r="C236" s="236">
        <v>7.5</v>
      </c>
      <c r="D236" s="237">
        <v>5.6600000000000001</v>
      </c>
      <c r="E236" s="114"/>
      <c r="I236" s="185"/>
      <c r="J236" s="185"/>
    </row>
    <row r="237" ht="11.25" customHeight="1">
      <c r="A237" s="115" t="s">
        <v>104</v>
      </c>
      <c r="B237" s="116" t="s">
        <v>105</v>
      </c>
      <c r="C237" s="238">
        <f>B233</f>
        <v>1760</v>
      </c>
      <c r="D237" s="239">
        <f>IFERROR(+D236/C236,"-")</f>
        <v>0.75466666666666671</v>
      </c>
      <c r="E237" s="117">
        <f>IFERROR(C237*D237,"-")</f>
        <v>1328.2133333333334</v>
      </c>
      <c r="I237" s="185"/>
      <c r="J237" s="185"/>
    </row>
    <row r="238" ht="11.25" customHeight="1">
      <c r="A238" s="115" t="s">
        <v>106</v>
      </c>
      <c r="B238" s="116" t="s">
        <v>107</v>
      </c>
      <c r="C238" s="240">
        <v>0.5</v>
      </c>
      <c r="D238" s="233">
        <v>19.77</v>
      </c>
      <c r="E238" s="117"/>
      <c r="I238" s="185"/>
      <c r="J238" s="185"/>
    </row>
    <row r="239" ht="11.25" customHeight="1">
      <c r="A239" s="115" t="s">
        <v>108</v>
      </c>
      <c r="B239" s="116" t="s">
        <v>105</v>
      </c>
      <c r="C239" s="238">
        <f>C237</f>
        <v>1760</v>
      </c>
      <c r="D239" s="241">
        <f>+C238*D238/1000</f>
        <v>9.8849999999999997e-003</v>
      </c>
      <c r="E239" s="117">
        <f>C239*D239</f>
        <v>17.397600000000001</v>
      </c>
      <c r="I239" s="185"/>
      <c r="J239" s="185"/>
    </row>
    <row r="240" ht="11.25" customHeight="1">
      <c r="A240" s="115" t="s">
        <v>109</v>
      </c>
      <c r="B240" s="116" t="s">
        <v>107</v>
      </c>
      <c r="C240" s="240">
        <v>0.14999999999999999</v>
      </c>
      <c r="D240" s="233">
        <v>35</v>
      </c>
      <c r="E240" s="117"/>
      <c r="F240" s="2"/>
      <c r="I240" s="185"/>
      <c r="J240" s="185"/>
    </row>
    <row r="241" ht="11.25" customHeight="1">
      <c r="A241" s="115" t="s">
        <v>110</v>
      </c>
      <c r="B241" s="116" t="s">
        <v>105</v>
      </c>
      <c r="C241" s="238">
        <f>C237</f>
        <v>1760</v>
      </c>
      <c r="D241" s="241">
        <f>+C240*D240/1000</f>
        <v>5.2500000000000003e-003</v>
      </c>
      <c r="E241" s="117">
        <f>C241*D241</f>
        <v>9.2400000000000002</v>
      </c>
      <c r="F241" s="2"/>
      <c r="I241" s="185"/>
      <c r="J241" s="185"/>
    </row>
    <row r="242" ht="11.25" customHeight="1">
      <c r="A242" s="115" t="s">
        <v>111</v>
      </c>
      <c r="B242" s="116" t="s">
        <v>107</v>
      </c>
      <c r="C242" s="240">
        <v>0.14999999999999999</v>
      </c>
      <c r="D242" s="233">
        <v>26</v>
      </c>
      <c r="E242" s="117"/>
      <c r="F242" s="2"/>
      <c r="I242" s="185"/>
      <c r="J242" s="185"/>
    </row>
    <row r="243" ht="11.25" customHeight="1">
      <c r="A243" s="115" t="s">
        <v>112</v>
      </c>
      <c r="B243" s="116" t="s">
        <v>105</v>
      </c>
      <c r="C243" s="238">
        <f>C237</f>
        <v>1760</v>
      </c>
      <c r="D243" s="241">
        <f>+C242*D242/1000</f>
        <v>3.8999999999999998e-003</v>
      </c>
      <c r="E243" s="117">
        <f>C243*D243</f>
        <v>6.8639999999999999</v>
      </c>
      <c r="F243" s="2"/>
      <c r="I243" s="185"/>
      <c r="J243" s="185"/>
    </row>
    <row r="244" ht="11.25" customHeight="1">
      <c r="A244" s="115" t="s">
        <v>113</v>
      </c>
      <c r="B244" s="116" t="s">
        <v>114</v>
      </c>
      <c r="C244" s="240">
        <v>0.29999999999999999</v>
      </c>
      <c r="D244" s="233">
        <v>23</v>
      </c>
      <c r="E244" s="117"/>
      <c r="F244" s="2"/>
      <c r="I244" s="185"/>
      <c r="J244" s="185"/>
    </row>
    <row r="245" ht="11.25" customHeight="1">
      <c r="A245" s="115" t="s">
        <v>115</v>
      </c>
      <c r="B245" s="116" t="s">
        <v>105</v>
      </c>
      <c r="C245" s="238">
        <f>C237</f>
        <v>1760</v>
      </c>
      <c r="D245" s="241">
        <f>+C244*D244/1000</f>
        <v>6.8999999999999999e-003</v>
      </c>
      <c r="E245" s="117">
        <f>C245*D245</f>
        <v>12.144</v>
      </c>
      <c r="F245" s="2"/>
      <c r="I245" s="185"/>
      <c r="J245" s="185"/>
    </row>
    <row r="246" ht="11.25" customHeight="1">
      <c r="A246" s="223" t="s">
        <v>116</v>
      </c>
      <c r="B246" s="224" t="s">
        <v>117</v>
      </c>
      <c r="C246" s="242"/>
      <c r="D246" s="243">
        <f>IFERROR(D237+D239+D241+D243+D245,0)</f>
        <v>0.78060166666666675</v>
      </c>
      <c r="E246" s="117"/>
      <c r="F246" s="2"/>
      <c r="I246" s="185"/>
      <c r="J246" s="185"/>
    </row>
    <row r="247" ht="11.25" customHeight="1">
      <c r="C247" s="1"/>
      <c r="E247" s="2"/>
      <c r="F247" s="227">
        <f>SUM(E236:E245)</f>
        <v>1373.8589333333334</v>
      </c>
      <c r="I247" s="185"/>
      <c r="J247" s="185"/>
    </row>
    <row r="248" ht="11.25" customHeight="1">
      <c r="C248" s="1"/>
      <c r="E248" s="2"/>
      <c r="F248" s="2"/>
      <c r="I248" s="185"/>
      <c r="J248" s="185"/>
    </row>
    <row r="249" ht="11.25" customHeight="1">
      <c r="A249" s="1" t="s">
        <v>134</v>
      </c>
      <c r="C249" s="1"/>
      <c r="E249" s="2"/>
      <c r="F249" s="2"/>
      <c r="I249" s="185"/>
      <c r="J249" s="185"/>
    </row>
    <row r="250" ht="11.25" customHeight="1">
      <c r="A250" s="107" t="s">
        <v>21</v>
      </c>
      <c r="B250" s="108" t="s">
        <v>22</v>
      </c>
      <c r="C250" s="108" t="s">
        <v>14</v>
      </c>
      <c r="D250" s="109" t="s">
        <v>23</v>
      </c>
      <c r="E250" s="109" t="s">
        <v>24</v>
      </c>
      <c r="F250" s="110" t="s">
        <v>25</v>
      </c>
      <c r="I250" s="185"/>
      <c r="J250" s="185"/>
    </row>
    <row r="251" ht="11.25" customHeight="1">
      <c r="A251" s="111" t="s">
        <v>119</v>
      </c>
      <c r="B251" s="112" t="s">
        <v>117</v>
      </c>
      <c r="C251" s="238">
        <f>C237</f>
        <v>1760</v>
      </c>
      <c r="D251" s="113">
        <v>0.77000000000000002</v>
      </c>
      <c r="E251" s="114">
        <f>C251*D251</f>
        <v>1355.2</v>
      </c>
      <c r="F251" s="2"/>
      <c r="I251" s="185"/>
      <c r="J251" s="185"/>
    </row>
    <row r="252" ht="11.25" customHeight="1">
      <c r="C252" s="1"/>
      <c r="D252" s="2"/>
      <c r="E252" s="2"/>
      <c r="F252" s="227">
        <f>E251</f>
        <v>1355.2</v>
      </c>
      <c r="I252" s="185"/>
      <c r="J252" s="185"/>
    </row>
    <row r="253" ht="11.25" customHeight="1">
      <c r="C253" s="1"/>
      <c r="D253" s="2"/>
      <c r="E253" s="2"/>
      <c r="I253" s="185"/>
      <c r="J253" s="185"/>
    </row>
    <row r="254" ht="11.25" customHeight="1">
      <c r="A254" s="1" t="s">
        <v>135</v>
      </c>
      <c r="C254" s="1"/>
      <c r="D254" s="2"/>
      <c r="E254" s="2"/>
      <c r="F254" s="2"/>
      <c r="I254" s="185"/>
      <c r="J254" s="185"/>
    </row>
    <row r="255" ht="11.25" customHeight="1">
      <c r="A255" s="107" t="s">
        <v>21</v>
      </c>
      <c r="B255" s="108" t="s">
        <v>22</v>
      </c>
      <c r="C255" s="108" t="s">
        <v>14</v>
      </c>
      <c r="D255" s="109" t="s">
        <v>23</v>
      </c>
      <c r="E255" s="109" t="s">
        <v>24</v>
      </c>
      <c r="F255" s="110" t="s">
        <v>25</v>
      </c>
      <c r="I255" s="185"/>
      <c r="J255" s="185"/>
    </row>
    <row r="256" ht="11.25" customHeight="1">
      <c r="A256" s="111" t="s">
        <v>136</v>
      </c>
      <c r="B256" s="112" t="s">
        <v>43</v>
      </c>
      <c r="C256" s="244">
        <v>4</v>
      </c>
      <c r="D256" s="113">
        <v>750</v>
      </c>
      <c r="E256" s="114">
        <f>C256*D256</f>
        <v>3000</v>
      </c>
      <c r="F256" s="2"/>
      <c r="I256" s="185"/>
      <c r="J256" s="185"/>
    </row>
    <row r="257" ht="11.25" customHeight="1">
      <c r="A257" s="111" t="s">
        <v>122</v>
      </c>
      <c r="B257" s="112" t="s">
        <v>43</v>
      </c>
      <c r="C257" s="244">
        <v>3</v>
      </c>
      <c r="D257" s="114"/>
      <c r="E257" s="114"/>
      <c r="F257" s="2"/>
      <c r="I257" s="185"/>
      <c r="J257" s="185"/>
    </row>
    <row r="258" ht="11.25" customHeight="1">
      <c r="A258" s="111" t="s">
        <v>123</v>
      </c>
      <c r="B258" s="112" t="s">
        <v>43</v>
      </c>
      <c r="C258" s="114">
        <f>C256*C257</f>
        <v>12</v>
      </c>
      <c r="D258" s="113">
        <v>500</v>
      </c>
      <c r="E258" s="114">
        <f>C258*D258</f>
        <v>6000</v>
      </c>
      <c r="F258" s="2"/>
      <c r="I258" s="185"/>
      <c r="J258" s="185"/>
    </row>
    <row r="259" ht="11.25" customHeight="1">
      <c r="A259" s="115" t="s">
        <v>124</v>
      </c>
      <c r="B259" s="116" t="s">
        <v>125</v>
      </c>
      <c r="C259" s="245">
        <v>50000</v>
      </c>
      <c r="D259" s="117">
        <f>E256+E258</f>
        <v>9000</v>
      </c>
      <c r="E259" s="117">
        <f>IFERROR(D259/C259,"-")</f>
        <v>0.17999999999999999</v>
      </c>
      <c r="F259" s="2"/>
      <c r="I259" s="185"/>
      <c r="J259" s="185"/>
    </row>
    <row r="260" ht="11.25" customHeight="1">
      <c r="A260" s="115" t="s">
        <v>126</v>
      </c>
      <c r="B260" s="116" t="s">
        <v>105</v>
      </c>
      <c r="C260" s="238">
        <f>B233</f>
        <v>1760</v>
      </c>
      <c r="D260" s="117">
        <f>E259</f>
        <v>0.17999999999999999</v>
      </c>
      <c r="E260" s="117">
        <f>IFERROR(C260*D260,0)</f>
        <v>316.80000000000001</v>
      </c>
      <c r="F260" s="2"/>
      <c r="I260" s="185"/>
      <c r="J260" s="185"/>
    </row>
    <row r="261" ht="11.25" customHeight="1">
      <c r="E261" s="2"/>
      <c r="F261" s="246">
        <f>E260</f>
        <v>316.80000000000001</v>
      </c>
      <c r="G261" s="1"/>
    </row>
    <row r="262" ht="11.25" customHeight="1">
      <c r="A262" s="17"/>
      <c r="B262" s="17"/>
      <c r="C262" s="17"/>
      <c r="D262" s="17"/>
      <c r="E262" s="17"/>
      <c r="F262" s="247"/>
      <c r="G262" s="1"/>
    </row>
    <row r="263" s="34" customFormat="1" ht="11.25" customHeight="1">
      <c r="A263" s="34" t="s">
        <v>18</v>
      </c>
      <c r="B263" s="17"/>
      <c r="C263" s="17"/>
      <c r="D263" s="17"/>
      <c r="E263" s="17"/>
      <c r="F263" s="247"/>
      <c r="G263" s="34"/>
      <c r="I263" s="34"/>
      <c r="J263" s="34"/>
    </row>
    <row r="264" ht="11.25" customHeight="1">
      <c r="A264" s="248"/>
      <c r="B264" s="1"/>
      <c r="C264" s="1"/>
      <c r="D264" s="2"/>
      <c r="E264" s="2"/>
      <c r="F264" s="247"/>
      <c r="G264" s="1"/>
    </row>
    <row r="265" ht="11.25" customHeight="1">
      <c r="A265" s="249" t="s">
        <v>137</v>
      </c>
      <c r="B265" s="250"/>
      <c r="C265" s="250"/>
      <c r="D265" s="251"/>
      <c r="E265" s="251"/>
      <c r="F265" s="17"/>
      <c r="G265" s="1"/>
    </row>
    <row r="266" ht="11.25" customHeight="1">
      <c r="A266" s="107" t="s">
        <v>21</v>
      </c>
      <c r="B266" s="108" t="s">
        <v>22</v>
      </c>
      <c r="C266" s="108" t="s">
        <v>14</v>
      </c>
      <c r="D266" s="109" t="s">
        <v>23</v>
      </c>
      <c r="E266" s="109" t="s">
        <v>24</v>
      </c>
      <c r="F266" s="110" t="s">
        <v>25</v>
      </c>
      <c r="G266" s="1"/>
    </row>
    <row r="267" ht="11.25" customHeight="1">
      <c r="A267" s="252" t="s">
        <v>138</v>
      </c>
      <c r="B267" s="253" t="s">
        <v>43</v>
      </c>
      <c r="C267" s="253">
        <v>1</v>
      </c>
      <c r="D267" s="254">
        <v>215000</v>
      </c>
      <c r="E267" s="255">
        <f>C267*D267</f>
        <v>215000</v>
      </c>
      <c r="F267" s="17"/>
      <c r="G267" s="1"/>
    </row>
    <row r="268" ht="11.25" customHeight="1">
      <c r="A268" s="115" t="s">
        <v>139</v>
      </c>
      <c r="B268" s="116" t="s">
        <v>73</v>
      </c>
      <c r="C268" s="123">
        <v>10</v>
      </c>
      <c r="D268" s="117"/>
      <c r="E268" s="117"/>
      <c r="F268" s="17"/>
      <c r="G268" s="1"/>
    </row>
    <row r="269" ht="11.25" customHeight="1">
      <c r="A269" s="115" t="s">
        <v>74</v>
      </c>
      <c r="B269" s="116" t="s">
        <v>73</v>
      </c>
      <c r="C269" s="123">
        <v>0</v>
      </c>
      <c r="D269" s="117"/>
      <c r="E269" s="117"/>
      <c r="F269" s="247"/>
      <c r="G269" s="1"/>
    </row>
    <row r="270" ht="11.25" customHeight="1">
      <c r="A270" s="115" t="s">
        <v>140</v>
      </c>
      <c r="B270" s="116" t="s">
        <v>8</v>
      </c>
      <c r="C270" s="122">
        <v>65.180000000000007</v>
      </c>
      <c r="D270" s="117">
        <f>E267</f>
        <v>215000</v>
      </c>
      <c r="E270" s="117">
        <f>C270*D270/100</f>
        <v>140137.00000000003</v>
      </c>
      <c r="F270" s="17"/>
      <c r="G270" s="1"/>
    </row>
    <row r="271" ht="11.25" customHeight="1">
      <c r="A271" s="220" t="s">
        <v>141</v>
      </c>
      <c r="B271" s="221" t="s">
        <v>27</v>
      </c>
      <c r="C271" s="221">
        <f>C268*12</f>
        <v>120</v>
      </c>
      <c r="D271" s="222">
        <f>IF(C269&lt;=C268,E270,0)</f>
        <v>140137.00000000003</v>
      </c>
      <c r="E271" s="222">
        <f>IFERROR(D271/C271,0)</f>
        <v>1167.8083333333336</v>
      </c>
      <c r="F271" s="17"/>
      <c r="G271" s="1"/>
    </row>
    <row r="272" ht="11.25" customHeight="1">
      <c r="A272" s="256" t="s">
        <v>142</v>
      </c>
      <c r="B272" s="257" t="s">
        <v>43</v>
      </c>
      <c r="C272" s="257">
        <v>1</v>
      </c>
      <c r="D272" s="258">
        <v>50000</v>
      </c>
      <c r="E272" s="259">
        <f>C272*D272</f>
        <v>50000</v>
      </c>
      <c r="F272" s="17"/>
      <c r="G272" s="1"/>
    </row>
    <row r="273" ht="11.25" customHeight="1">
      <c r="A273" s="115" t="s">
        <v>78</v>
      </c>
      <c r="B273" s="116" t="s">
        <v>73</v>
      </c>
      <c r="C273" s="123">
        <v>10</v>
      </c>
      <c r="D273" s="117"/>
      <c r="E273" s="117"/>
      <c r="F273" s="17"/>
      <c r="G273" s="1"/>
    </row>
    <row r="274" ht="11.25" customHeight="1">
      <c r="A274" s="115" t="s">
        <v>143</v>
      </c>
      <c r="B274" s="116" t="s">
        <v>73</v>
      </c>
      <c r="C274" s="123">
        <v>0</v>
      </c>
      <c r="D274" s="117"/>
      <c r="E274" s="117"/>
      <c r="F274" s="247"/>
      <c r="G274" s="1"/>
    </row>
    <row r="275" ht="11.25" customHeight="1">
      <c r="A275" s="115" t="s">
        <v>144</v>
      </c>
      <c r="B275" s="116" t="s">
        <v>8</v>
      </c>
      <c r="C275" s="260">
        <v>65.180000000000007</v>
      </c>
      <c r="D275" s="117">
        <f>E272</f>
        <v>50000</v>
      </c>
      <c r="E275" s="117">
        <f>C275*D275/100</f>
        <v>32590.000000000004</v>
      </c>
      <c r="F275" s="17"/>
      <c r="G275" s="1"/>
    </row>
    <row r="276" ht="11.25" customHeight="1">
      <c r="A276" s="223" t="s">
        <v>145</v>
      </c>
      <c r="B276" s="224" t="s">
        <v>27</v>
      </c>
      <c r="C276" s="224">
        <f>C273*12</f>
        <v>120</v>
      </c>
      <c r="D276" s="225">
        <f>IF(C274&lt;=C273,E275,0)</f>
        <v>32590.000000000004</v>
      </c>
      <c r="E276" s="225">
        <f>IFERROR(D276/C276,0)</f>
        <v>271.58333333333337</v>
      </c>
      <c r="F276" s="17"/>
      <c r="G276" s="1"/>
    </row>
    <row r="277" ht="11.25" customHeight="1">
      <c r="A277" s="223" t="s">
        <v>146</v>
      </c>
      <c r="B277" s="261"/>
      <c r="C277" s="261"/>
      <c r="D277" s="262"/>
      <c r="E277" s="225">
        <f>E271+E276</f>
        <v>1439.3916666666669</v>
      </c>
      <c r="F277" s="17"/>
      <c r="G277" s="1"/>
    </row>
    <row r="278" ht="11.25" customHeight="1">
      <c r="A278" s="223" t="s">
        <v>83</v>
      </c>
      <c r="B278" s="224" t="s">
        <v>43</v>
      </c>
      <c r="C278" s="123">
        <v>1</v>
      </c>
      <c r="D278" s="225">
        <f>E277</f>
        <v>1439.3916666666669</v>
      </c>
      <c r="E278" s="225">
        <f>C278*D278</f>
        <v>1439.3916666666669</v>
      </c>
      <c r="F278" s="17"/>
      <c r="G278" s="1"/>
    </row>
    <row r="279" ht="11.25" customHeight="1">
      <c r="A279" s="263"/>
      <c r="B279" s="263"/>
      <c r="C279" s="263"/>
      <c r="D279" s="264" t="s">
        <v>34</v>
      </c>
      <c r="E279" s="265">
        <v>1</v>
      </c>
      <c r="F279" s="227">
        <f>E278*E279</f>
        <v>1439.3916666666669</v>
      </c>
      <c r="G279" s="1"/>
    </row>
    <row r="280" ht="11.25" customHeight="1">
      <c r="A280" s="266"/>
      <c r="B280" s="266"/>
      <c r="C280" s="266"/>
      <c r="D280" s="64"/>
      <c r="E280" s="64"/>
      <c r="F280" s="64"/>
      <c r="G280" s="1"/>
    </row>
    <row r="281" ht="11.25" customHeight="1">
      <c r="A281" s="267" t="s">
        <v>147</v>
      </c>
      <c r="B281" s="268"/>
      <c r="C281" s="268"/>
      <c r="D281" s="269"/>
      <c r="E281" s="269"/>
      <c r="F281" s="269"/>
      <c r="G281" s="1"/>
    </row>
    <row r="282" ht="11.25" customHeight="1">
      <c r="A282" s="270" t="s">
        <v>21</v>
      </c>
      <c r="B282" s="271" t="s">
        <v>22</v>
      </c>
      <c r="C282" s="272" t="s">
        <v>14</v>
      </c>
      <c r="D282" s="196" t="s">
        <v>23</v>
      </c>
      <c r="E282" s="273" t="s">
        <v>24</v>
      </c>
      <c r="F282" s="131" t="s">
        <v>25</v>
      </c>
      <c r="G282" s="1"/>
    </row>
    <row r="283" ht="11.25" customHeight="1">
      <c r="A283" s="274" t="s">
        <v>138</v>
      </c>
      <c r="B283" s="275" t="s">
        <v>43</v>
      </c>
      <c r="C283" s="276">
        <v>1</v>
      </c>
      <c r="D283" s="137">
        <v>215000</v>
      </c>
      <c r="E283" s="137">
        <f>C283*D283</f>
        <v>215000</v>
      </c>
      <c r="F283" s="277"/>
      <c r="G283" s="1"/>
    </row>
    <row r="284" ht="11.25" customHeight="1">
      <c r="A284" s="274" t="s">
        <v>86</v>
      </c>
      <c r="B284" s="275" t="s">
        <v>8</v>
      </c>
      <c r="C284" s="278">
        <v>13.75</v>
      </c>
      <c r="D284" s="137"/>
      <c r="E284" s="137"/>
      <c r="F284" s="279"/>
      <c r="G284" s="1"/>
    </row>
    <row r="285" ht="11.25" customHeight="1">
      <c r="A285" s="274" t="s">
        <v>87</v>
      </c>
      <c r="B285" s="275" t="s">
        <v>37</v>
      </c>
      <c r="C285" s="280">
        <f>IFERROR(IF(C269&lt;=C268,E267-(C270/(100*C268)*C269)*E267,E267-E270),0)</f>
        <v>215000</v>
      </c>
      <c r="D285" s="137"/>
      <c r="E285" s="137"/>
      <c r="F285" s="279"/>
      <c r="G285" s="1"/>
    </row>
    <row r="286" ht="11.25" customHeight="1">
      <c r="A286" s="274" t="s">
        <v>148</v>
      </c>
      <c r="B286" s="275" t="s">
        <v>37</v>
      </c>
      <c r="C286" s="281">
        <f>IFERROR(IF(C269&gt;=C268,C285,((((C285)-(E267-E270))*(((C268-C269)+1)/(2*(C268-C269))))+(E267-E270))),0)</f>
        <v>151938.34999999998</v>
      </c>
      <c r="D286" s="137"/>
      <c r="E286" s="137"/>
      <c r="F286" s="279"/>
      <c r="G286" s="1"/>
    </row>
    <row r="287" ht="11.25" customHeight="1">
      <c r="A287" s="282" t="s">
        <v>149</v>
      </c>
      <c r="B287" s="283" t="s">
        <v>37</v>
      </c>
      <c r="C287" s="283"/>
      <c r="D287" s="188">
        <f>C284*C286/12/100</f>
        <v>1740.9602604166666</v>
      </c>
      <c r="E287" s="188">
        <f>D287</f>
        <v>1740.9602604166666</v>
      </c>
      <c r="F287" s="279"/>
      <c r="G287" s="1"/>
    </row>
    <row r="288" ht="11.25" customHeight="1">
      <c r="A288" s="284" t="s">
        <v>150</v>
      </c>
      <c r="B288" s="285" t="s">
        <v>43</v>
      </c>
      <c r="C288" s="285">
        <f>C272</f>
        <v>1</v>
      </c>
      <c r="D288" s="286">
        <f>D272</f>
        <v>50000</v>
      </c>
      <c r="E288" s="286">
        <f>C288*D288</f>
        <v>50000</v>
      </c>
      <c r="F288" s="279"/>
      <c r="G288" s="1"/>
    </row>
    <row r="289" ht="11.25" customHeight="1">
      <c r="A289" s="274" t="s">
        <v>86</v>
      </c>
      <c r="B289" s="275" t="s">
        <v>8</v>
      </c>
      <c r="C289" s="275">
        <f>C284</f>
        <v>13.75</v>
      </c>
      <c r="D289" s="137"/>
      <c r="E289" s="137"/>
      <c r="F289" s="279"/>
      <c r="G289" s="1"/>
    </row>
    <row r="290" ht="11.25" customHeight="1">
      <c r="A290" s="274" t="s">
        <v>151</v>
      </c>
      <c r="B290" s="275" t="s">
        <v>37</v>
      </c>
      <c r="C290" s="280">
        <f>IFERROR(IF(C274&lt;=C273,E272-(C275/(100*C273)*C274)*E272,E272-E275),0)</f>
        <v>50000</v>
      </c>
      <c r="D290" s="137"/>
      <c r="E290" s="137"/>
      <c r="F290" s="279"/>
      <c r="G290" s="1"/>
    </row>
    <row r="291" ht="11.25" customHeight="1">
      <c r="A291" s="274" t="s">
        <v>92</v>
      </c>
      <c r="B291" s="275" t="s">
        <v>37</v>
      </c>
      <c r="C291" s="281">
        <f>IFERROR(IF(C274&gt;=C273,C290,((((C290)-(E272-E275))*(((C273-C274)+1)/(2*(C273-C274))))+(E272-E275))),0)</f>
        <v>35334.5</v>
      </c>
      <c r="D291" s="137"/>
      <c r="E291" s="137"/>
      <c r="F291" s="279"/>
      <c r="G291" s="1"/>
    </row>
    <row r="292" ht="11.25" customHeight="1">
      <c r="A292" s="287" t="s">
        <v>152</v>
      </c>
      <c r="B292" s="288" t="s">
        <v>37</v>
      </c>
      <c r="C292" s="288"/>
      <c r="D292" s="192">
        <f>C289*C291/12/100</f>
        <v>404.87447916666662</v>
      </c>
      <c r="E292" s="192">
        <f>D292</f>
        <v>404.87447916666662</v>
      </c>
      <c r="F292" s="279"/>
      <c r="G292" s="1"/>
    </row>
    <row r="293" ht="11.25" customHeight="1">
      <c r="A293" s="287" t="s">
        <v>146</v>
      </c>
      <c r="B293" s="289"/>
      <c r="C293" s="289"/>
      <c r="D293" s="290"/>
      <c r="E293" s="192">
        <f>E287+E292</f>
        <v>2145.8347395833334</v>
      </c>
      <c r="F293" s="279"/>
      <c r="G293" s="1"/>
    </row>
    <row r="294" ht="11.25" customHeight="1">
      <c r="A294" s="287" t="s">
        <v>83</v>
      </c>
      <c r="B294" s="288" t="s">
        <v>43</v>
      </c>
      <c r="C294" s="275">
        <f>C278</f>
        <v>1</v>
      </c>
      <c r="D294" s="192">
        <f>E293</f>
        <v>2145.8347395833334</v>
      </c>
      <c r="E294" s="192">
        <f>C294*D294</f>
        <v>2145.8347395833334</v>
      </c>
      <c r="F294" s="291"/>
      <c r="G294" s="1"/>
    </row>
    <row r="295" ht="11.25" customHeight="1">
      <c r="A295" s="292"/>
      <c r="B295" s="292"/>
      <c r="C295" s="293"/>
      <c r="D295" s="294" t="s">
        <v>34</v>
      </c>
      <c r="E295" s="295">
        <v>1</v>
      </c>
      <c r="F295" s="181">
        <f>E294*E295</f>
        <v>2145.8347395833334</v>
      </c>
      <c r="G295" s="1"/>
    </row>
    <row r="296" ht="11.25" customHeight="1">
      <c r="A296" s="226"/>
      <c r="B296" s="226"/>
      <c r="C296" s="226"/>
      <c r="D296" s="124"/>
      <c r="E296" s="2"/>
      <c r="F296" s="247"/>
      <c r="G296" s="1"/>
    </row>
    <row r="297" ht="11.25" customHeight="1">
      <c r="A297" s="226"/>
      <c r="B297" s="226"/>
      <c r="C297" s="226"/>
      <c r="D297" s="124"/>
      <c r="E297" s="2"/>
      <c r="F297" s="247"/>
      <c r="G297" s="1"/>
    </row>
    <row r="298" ht="11.25" customHeight="1">
      <c r="A298" s="296" t="s">
        <v>153</v>
      </c>
      <c r="B298" s="296"/>
      <c r="C298" s="296"/>
      <c r="D298" s="269"/>
      <c r="E298" s="269"/>
      <c r="F298" s="269"/>
      <c r="G298" s="1"/>
    </row>
    <row r="299" ht="11.25" customHeight="1">
      <c r="A299" s="128" t="s">
        <v>21</v>
      </c>
      <c r="B299" s="129" t="s">
        <v>22</v>
      </c>
      <c r="C299" s="129" t="s">
        <v>14</v>
      </c>
      <c r="D299" s="130" t="s">
        <v>23</v>
      </c>
      <c r="E299" s="130" t="s">
        <v>24</v>
      </c>
      <c r="F299" s="131" t="s">
        <v>25</v>
      </c>
      <c r="G299" s="1"/>
    </row>
    <row r="300" ht="11.25" customHeight="1">
      <c r="A300" s="297" t="s">
        <v>95</v>
      </c>
      <c r="B300" s="298" t="s">
        <v>43</v>
      </c>
      <c r="C300" s="299">
        <v>1</v>
      </c>
      <c r="D300" s="299">
        <v>2150</v>
      </c>
      <c r="E300" s="299">
        <f t="shared" ref="E300:E302" si="7">C300*D300</f>
        <v>2150</v>
      </c>
      <c r="F300" s="300"/>
      <c r="G300" s="1"/>
    </row>
    <row r="301" ht="11.25" customHeight="1">
      <c r="A301" s="135" t="s">
        <v>96</v>
      </c>
      <c r="B301" s="136" t="s">
        <v>43</v>
      </c>
      <c r="C301" s="137">
        <v>1</v>
      </c>
      <c r="D301" s="199">
        <v>2150</v>
      </c>
      <c r="E301" s="137">
        <f t="shared" si="7"/>
        <v>2150</v>
      </c>
      <c r="F301" s="301"/>
      <c r="G301" s="1"/>
    </row>
    <row r="302" ht="11.25" customHeight="1">
      <c r="A302" s="135" t="s">
        <v>97</v>
      </c>
      <c r="B302" s="136" t="s">
        <v>43</v>
      </c>
      <c r="C302" s="137">
        <v>1</v>
      </c>
      <c r="D302" s="199">
        <v>3000</v>
      </c>
      <c r="E302" s="137">
        <f t="shared" si="7"/>
        <v>3000</v>
      </c>
      <c r="F302" s="302"/>
      <c r="G302" s="1"/>
    </row>
    <row r="303" ht="11.25" customHeight="1">
      <c r="A303" s="190" t="s">
        <v>98</v>
      </c>
      <c r="B303" s="191" t="s">
        <v>27</v>
      </c>
      <c r="C303" s="191">
        <v>12</v>
      </c>
      <c r="D303" s="192">
        <f>SUM(E300:E302)</f>
        <v>7300</v>
      </c>
      <c r="E303" s="192">
        <f>D303/C303</f>
        <v>608.33333333333337</v>
      </c>
      <c r="F303" s="303"/>
      <c r="G303" s="1"/>
    </row>
    <row r="304" ht="11.25" customHeight="1">
      <c r="A304" s="90"/>
      <c r="B304" s="90"/>
      <c r="C304" s="90"/>
      <c r="D304" s="294" t="s">
        <v>34</v>
      </c>
      <c r="E304" s="145">
        <v>1</v>
      </c>
      <c r="F304" s="304">
        <f>E303*E304</f>
        <v>608.33333333333337</v>
      </c>
      <c r="G304" s="1"/>
    </row>
    <row r="305" ht="11.25" customHeight="1">
      <c r="A305" s="63"/>
      <c r="B305" s="63"/>
      <c r="C305" s="63"/>
      <c r="D305" s="64"/>
      <c r="E305" s="89"/>
      <c r="F305" s="305"/>
      <c r="G305" s="1"/>
    </row>
    <row r="306" ht="11.25" customHeight="1">
      <c r="A306" s="63" t="s">
        <v>154</v>
      </c>
      <c r="B306" s="200"/>
      <c r="C306" s="63"/>
      <c r="D306" s="64"/>
      <c r="E306" s="64"/>
      <c r="F306" s="64"/>
      <c r="G306" s="1"/>
    </row>
    <row r="307" ht="11.25" customHeight="1">
      <c r="A307" s="306"/>
      <c r="B307" s="307"/>
      <c r="C307" s="63"/>
      <c r="D307" s="64"/>
      <c r="E307" s="64"/>
      <c r="F307" s="64"/>
      <c r="G307" s="1"/>
    </row>
    <row r="308" ht="11.25" customHeight="1">
      <c r="A308" s="190" t="s">
        <v>100</v>
      </c>
      <c r="B308" s="201">
        <v>550</v>
      </c>
      <c r="C308" s="308"/>
      <c r="D308" s="64"/>
      <c r="E308" s="64"/>
      <c r="F308" s="64"/>
      <c r="G308" s="1"/>
    </row>
    <row r="309" ht="11.25" customHeight="1">
      <c r="A309" s="309"/>
      <c r="B309" s="310"/>
      <c r="C309" s="296"/>
      <c r="D309" s="269"/>
      <c r="E309" s="269"/>
      <c r="F309" s="269"/>
      <c r="G309" s="1"/>
    </row>
    <row r="310" ht="11.25" customHeight="1">
      <c r="A310" s="128" t="s">
        <v>21</v>
      </c>
      <c r="B310" s="129" t="s">
        <v>22</v>
      </c>
      <c r="C310" s="129" t="s">
        <v>101</v>
      </c>
      <c r="D310" s="130" t="s">
        <v>23</v>
      </c>
      <c r="E310" s="130" t="s">
        <v>24</v>
      </c>
      <c r="F310" s="131" t="s">
        <v>25</v>
      </c>
      <c r="G310" s="1"/>
    </row>
    <row r="311" ht="11.25" customHeight="1">
      <c r="A311" s="297" t="s">
        <v>102</v>
      </c>
      <c r="B311" s="298" t="s">
        <v>103</v>
      </c>
      <c r="C311" s="311">
        <v>2.5</v>
      </c>
      <c r="D311" s="312">
        <v>5.6600000000000001</v>
      </c>
      <c r="E311" s="299"/>
      <c r="F311" s="300"/>
      <c r="G311" s="1"/>
    </row>
    <row r="312" ht="11.25" customHeight="1">
      <c r="A312" s="135" t="s">
        <v>104</v>
      </c>
      <c r="B312" s="136" t="s">
        <v>105</v>
      </c>
      <c r="C312" s="148">
        <f>B308</f>
        <v>550</v>
      </c>
      <c r="D312" s="206">
        <f>IFERROR(+D311/C311,"-")</f>
        <v>2.2640000000000002</v>
      </c>
      <c r="E312" s="137">
        <f>IFERROR(C312*D312,"-")</f>
        <v>1245.2</v>
      </c>
      <c r="F312" s="301"/>
      <c r="G312" s="1"/>
    </row>
    <row r="313" ht="11.25" customHeight="1">
      <c r="A313" s="135" t="s">
        <v>106</v>
      </c>
      <c r="B313" s="136" t="s">
        <v>107</v>
      </c>
      <c r="C313" s="205">
        <v>0.5</v>
      </c>
      <c r="D313" s="199">
        <v>19.77</v>
      </c>
      <c r="E313" s="137"/>
      <c r="F313" s="301"/>
      <c r="G313" s="1"/>
    </row>
    <row r="314" ht="11.25" customHeight="1">
      <c r="A314" s="135" t="s">
        <v>108</v>
      </c>
      <c r="B314" s="136" t="s">
        <v>105</v>
      </c>
      <c r="C314" s="148">
        <f>C312</f>
        <v>550</v>
      </c>
      <c r="D314" s="206">
        <f>+C313*D313/1000</f>
        <v>9.8849999999999997e-003</v>
      </c>
      <c r="E314" s="137">
        <f>C314*D314</f>
        <v>5.43675</v>
      </c>
      <c r="F314" s="301"/>
      <c r="G314" s="1"/>
    </row>
    <row r="315" ht="11.25" customHeight="1">
      <c r="A315" s="135" t="s">
        <v>109</v>
      </c>
      <c r="B315" s="136" t="s">
        <v>107</v>
      </c>
      <c r="C315" s="205">
        <v>0.14999999999999999</v>
      </c>
      <c r="D315" s="199">
        <v>35</v>
      </c>
      <c r="E315" s="137"/>
      <c r="F315" s="301"/>
      <c r="G315" s="1"/>
    </row>
    <row r="316" ht="11.25" customHeight="1">
      <c r="A316" s="135" t="s">
        <v>110</v>
      </c>
      <c r="B316" s="136" t="s">
        <v>105</v>
      </c>
      <c r="C316" s="148">
        <f>C312</f>
        <v>550</v>
      </c>
      <c r="D316" s="206">
        <f>+C315*D315/1000</f>
        <v>5.2500000000000003e-003</v>
      </c>
      <c r="E316" s="137">
        <f>C316*D316</f>
        <v>2.8875000000000002</v>
      </c>
      <c r="F316" s="301"/>
      <c r="G316" s="1"/>
    </row>
    <row r="317" ht="11.25" customHeight="1">
      <c r="A317" s="135" t="s">
        <v>111</v>
      </c>
      <c r="B317" s="136" t="s">
        <v>107</v>
      </c>
      <c r="C317" s="205">
        <v>0.14999999999999999</v>
      </c>
      <c r="D317" s="199">
        <v>26</v>
      </c>
      <c r="E317" s="137"/>
      <c r="F317" s="301"/>
      <c r="G317" s="1"/>
    </row>
    <row r="318" ht="11.25" customHeight="1">
      <c r="A318" s="135" t="s">
        <v>112</v>
      </c>
      <c r="B318" s="136" t="s">
        <v>105</v>
      </c>
      <c r="C318" s="148">
        <f>C312</f>
        <v>550</v>
      </c>
      <c r="D318" s="206">
        <f>+C317*D317/1000</f>
        <v>3.8999999999999998e-003</v>
      </c>
      <c r="E318" s="137">
        <f>C318*D318</f>
        <v>2.145</v>
      </c>
      <c r="F318" s="301"/>
      <c r="G318" s="1"/>
    </row>
    <row r="319" ht="11.25" customHeight="1">
      <c r="A319" s="135" t="s">
        <v>113</v>
      </c>
      <c r="B319" s="136" t="s">
        <v>114</v>
      </c>
      <c r="C319" s="205">
        <v>0.29999999999999999</v>
      </c>
      <c r="D319" s="199">
        <v>23</v>
      </c>
      <c r="E319" s="137"/>
      <c r="F319" s="301"/>
      <c r="G319" s="1"/>
    </row>
    <row r="320" ht="11.25" customHeight="1">
      <c r="A320" s="135" t="s">
        <v>115</v>
      </c>
      <c r="B320" s="136" t="s">
        <v>105</v>
      </c>
      <c r="C320" s="148">
        <f>C312</f>
        <v>550</v>
      </c>
      <c r="D320" s="206">
        <f>+C319*D319/1000</f>
        <v>6.8999999999999999e-003</v>
      </c>
      <c r="E320" s="137">
        <f>C320*D320</f>
        <v>3.7949999999999999</v>
      </c>
      <c r="F320" s="301"/>
      <c r="G320" s="1"/>
    </row>
    <row r="321" ht="11.25" customHeight="1">
      <c r="A321" s="190" t="s">
        <v>116</v>
      </c>
      <c r="B321" s="191" t="s">
        <v>117</v>
      </c>
      <c r="C321" s="207"/>
      <c r="D321" s="208">
        <f>IFERROR(D312+D314+D316+D318+D320,0)</f>
        <v>2.2899350000000003</v>
      </c>
      <c r="E321" s="137"/>
      <c r="F321" s="303"/>
      <c r="G321" s="1"/>
    </row>
    <row r="322" ht="11.25" customHeight="1">
      <c r="A322" s="90"/>
      <c r="B322" s="90"/>
      <c r="C322" s="90"/>
      <c r="D322" s="89"/>
      <c r="E322" s="313"/>
      <c r="F322" s="181">
        <f>SUM(E311:E320)</f>
        <v>1259.4642500000002</v>
      </c>
      <c r="G322" s="1"/>
    </row>
    <row r="323" ht="11.25" customHeight="1">
      <c r="A323" s="1"/>
      <c r="B323" s="1"/>
      <c r="C323" s="1"/>
      <c r="D323" s="2"/>
      <c r="E323" s="2"/>
      <c r="F323" s="247"/>
      <c r="G323" s="1"/>
    </row>
    <row r="324" ht="11.25" customHeight="1">
      <c r="A324" s="296" t="s">
        <v>155</v>
      </c>
      <c r="B324" s="296"/>
      <c r="C324" s="296"/>
      <c r="D324" s="269"/>
      <c r="E324" s="269"/>
      <c r="F324" s="269"/>
      <c r="G324" s="1"/>
    </row>
    <row r="325" ht="11.25" customHeight="1">
      <c r="A325" s="194" t="s">
        <v>21</v>
      </c>
      <c r="B325" s="195" t="s">
        <v>22</v>
      </c>
      <c r="C325" s="195" t="s">
        <v>14</v>
      </c>
      <c r="D325" s="196" t="s">
        <v>23</v>
      </c>
      <c r="E325" s="196" t="s">
        <v>24</v>
      </c>
      <c r="F325" s="131" t="s">
        <v>25</v>
      </c>
      <c r="G325" s="1"/>
    </row>
    <row r="326" ht="11.25" customHeight="1">
      <c r="A326" s="210" t="s">
        <v>156</v>
      </c>
      <c r="B326" s="211" t="s">
        <v>117</v>
      </c>
      <c r="C326" s="211">
        <f>C312</f>
        <v>550</v>
      </c>
      <c r="D326" s="314">
        <v>3.25</v>
      </c>
      <c r="E326" s="315">
        <f>C326*D326</f>
        <v>1787.5</v>
      </c>
      <c r="F326" s="316"/>
      <c r="G326" s="1"/>
    </row>
    <row r="327" ht="11.25" customHeight="1">
      <c r="A327" s="214"/>
      <c r="B327" s="214"/>
      <c r="C327" s="214"/>
      <c r="D327" s="214"/>
      <c r="E327" s="214"/>
      <c r="F327" s="317">
        <f>E326</f>
        <v>1787.5</v>
      </c>
      <c r="G327" s="1"/>
    </row>
    <row r="328" ht="11.25" customHeight="1">
      <c r="A328" s="1"/>
      <c r="B328" s="1"/>
      <c r="C328" s="1"/>
      <c r="D328" s="2"/>
      <c r="E328" s="2"/>
      <c r="F328" s="247"/>
      <c r="G328" s="1"/>
    </row>
    <row r="329" ht="11.25" customHeight="1">
      <c r="A329" s="81" t="s">
        <v>157</v>
      </c>
      <c r="B329" s="81"/>
      <c r="C329" s="81"/>
      <c r="D329" s="81"/>
      <c r="E329" s="81"/>
      <c r="F329" s="81"/>
      <c r="G329" s="1"/>
    </row>
    <row r="330" ht="11.25" customHeight="1">
      <c r="A330" s="128" t="s">
        <v>21</v>
      </c>
      <c r="B330" s="129" t="s">
        <v>22</v>
      </c>
      <c r="C330" s="129" t="s">
        <v>14</v>
      </c>
      <c r="D330" s="130" t="s">
        <v>23</v>
      </c>
      <c r="E330" s="130" t="s">
        <v>24</v>
      </c>
      <c r="F330" s="131" t="s">
        <v>25</v>
      </c>
      <c r="G330" s="1"/>
    </row>
    <row r="331" ht="11.25" customHeight="1">
      <c r="A331" s="297" t="s">
        <v>121</v>
      </c>
      <c r="B331" s="298" t="s">
        <v>43</v>
      </c>
      <c r="C331" s="318">
        <v>4</v>
      </c>
      <c r="D331" s="319">
        <v>2200</v>
      </c>
      <c r="E331" s="299">
        <f>C331*D331</f>
        <v>8800</v>
      </c>
      <c r="F331" s="300"/>
      <c r="G331" s="1"/>
    </row>
    <row r="332" ht="11.25" customHeight="1">
      <c r="A332" s="135" t="s">
        <v>122</v>
      </c>
      <c r="B332" s="136" t="s">
        <v>43</v>
      </c>
      <c r="C332" s="143">
        <v>2</v>
      </c>
      <c r="D332" s="137"/>
      <c r="E332" s="137"/>
      <c r="F332" s="301"/>
      <c r="G332" s="1"/>
    </row>
    <row r="333" ht="11.25" customHeight="1">
      <c r="A333" s="135" t="s">
        <v>123</v>
      </c>
      <c r="B333" s="136" t="s">
        <v>43</v>
      </c>
      <c r="C333" s="137">
        <f>C331*C332</f>
        <v>8</v>
      </c>
      <c r="D333" s="199">
        <v>500</v>
      </c>
      <c r="E333" s="137">
        <f>C333*D333</f>
        <v>4000</v>
      </c>
      <c r="F333" s="301"/>
      <c r="G333" s="1"/>
    </row>
    <row r="334" ht="11.25" customHeight="1">
      <c r="A334" s="135" t="s">
        <v>124</v>
      </c>
      <c r="B334" s="136" t="s">
        <v>125</v>
      </c>
      <c r="C334" s="217">
        <v>17500</v>
      </c>
      <c r="D334" s="137">
        <f>E331+E333</f>
        <v>12800</v>
      </c>
      <c r="E334" s="137">
        <f>IFERROR(D334/C334,"-")</f>
        <v>0.73142857142857143</v>
      </c>
      <c r="F334" s="301"/>
      <c r="G334" s="1"/>
    </row>
    <row r="335" ht="11.25" customHeight="1">
      <c r="A335" s="135" t="s">
        <v>126</v>
      </c>
      <c r="B335" s="136" t="s">
        <v>105</v>
      </c>
      <c r="C335" s="148">
        <f>B308</f>
        <v>550</v>
      </c>
      <c r="D335" s="137">
        <f>E334</f>
        <v>0.73142857142857143</v>
      </c>
      <c r="E335" s="137">
        <f>IFERROR(C335*D335,0)</f>
        <v>402.28571428571428</v>
      </c>
      <c r="F335" s="303"/>
      <c r="G335" s="1"/>
    </row>
    <row r="336" ht="11.25" customHeight="1">
      <c r="A336" s="90"/>
      <c r="B336" s="90"/>
      <c r="C336" s="90"/>
      <c r="D336" s="89"/>
      <c r="E336" s="313"/>
      <c r="F336" s="181">
        <f>E335</f>
        <v>402.28571428571428</v>
      </c>
      <c r="G336" s="1"/>
    </row>
    <row r="337" ht="11.25" customHeight="1">
      <c r="A337" s="63"/>
      <c r="B337" s="63"/>
      <c r="C337" s="63"/>
      <c r="D337" s="64"/>
      <c r="E337" s="85"/>
      <c r="F337" s="181"/>
      <c r="G337" s="1"/>
    </row>
    <row r="338" ht="13.5">
      <c r="A338" s="320" t="s">
        <v>158</v>
      </c>
      <c r="B338" s="321"/>
      <c r="C338" s="321"/>
      <c r="D338" s="60"/>
      <c r="E338" s="322"/>
      <c r="F338" s="227">
        <f>+SUM(F129:F337)</f>
        <v>28731.991406369048</v>
      </c>
      <c r="G338" s="1"/>
    </row>
    <row r="339" ht="11.25" customHeight="1">
      <c r="A339" s="1"/>
      <c r="B339" s="1"/>
      <c r="C339" s="1"/>
      <c r="D339" s="2"/>
      <c r="E339" s="2"/>
      <c r="F339" s="2"/>
      <c r="G339" s="1"/>
    </row>
    <row r="340">
      <c r="A340" s="34" t="s">
        <v>159</v>
      </c>
      <c r="B340" s="34"/>
      <c r="C340" s="34"/>
      <c r="D340" s="40"/>
      <c r="E340" s="40"/>
      <c r="F340" s="120"/>
      <c r="G340" s="1"/>
    </row>
    <row r="341" ht="11.25" customHeight="1">
      <c r="C341" s="1"/>
      <c r="D341" s="2"/>
      <c r="E341" s="2"/>
      <c r="F341" s="2"/>
      <c r="G341" s="1"/>
    </row>
    <row r="342" ht="13.5">
      <c r="A342" s="107" t="s">
        <v>21</v>
      </c>
      <c r="B342" s="108" t="s">
        <v>22</v>
      </c>
      <c r="C342" s="108" t="s">
        <v>14</v>
      </c>
      <c r="D342" s="109" t="s">
        <v>23</v>
      </c>
      <c r="E342" s="109" t="s">
        <v>24</v>
      </c>
      <c r="F342" s="110" t="s">
        <v>25</v>
      </c>
      <c r="G342" s="1"/>
    </row>
    <row r="343">
      <c r="A343" s="115" t="s">
        <v>160</v>
      </c>
      <c r="B343" s="116" t="s">
        <v>43</v>
      </c>
      <c r="C343" s="323">
        <v>12</v>
      </c>
      <c r="D343" s="113">
        <v>50</v>
      </c>
      <c r="E343" s="117">
        <f t="shared" ref="E343:E348" si="8">C343*D343/12</f>
        <v>50</v>
      </c>
      <c r="F343" s="219"/>
      <c r="G343" s="1"/>
    </row>
    <row r="344">
      <c r="A344" s="115" t="s">
        <v>161</v>
      </c>
      <c r="B344" s="116" t="s">
        <v>43</v>
      </c>
      <c r="C344" s="323">
        <v>12</v>
      </c>
      <c r="D344" s="113">
        <v>20</v>
      </c>
      <c r="E344" s="117">
        <f t="shared" si="8"/>
        <v>20</v>
      </c>
      <c r="F344" s="219"/>
      <c r="G344" s="1"/>
    </row>
    <row r="345">
      <c r="A345" s="115" t="s">
        <v>162</v>
      </c>
      <c r="B345" s="116" t="s">
        <v>43</v>
      </c>
      <c r="C345" s="323">
        <v>30</v>
      </c>
      <c r="D345" s="113">
        <v>32.5</v>
      </c>
      <c r="E345" s="117">
        <f t="shared" si="8"/>
        <v>81.25</v>
      </c>
      <c r="F345" s="219"/>
      <c r="G345" s="1"/>
    </row>
    <row r="346">
      <c r="A346" s="115" t="s">
        <v>163</v>
      </c>
      <c r="B346" s="116" t="s">
        <v>43</v>
      </c>
      <c r="C346" s="323">
        <v>30</v>
      </c>
      <c r="D346" s="113">
        <v>34.719999999999999</v>
      </c>
      <c r="E346" s="117">
        <f t="shared" si="8"/>
        <v>86.799999999999997</v>
      </c>
      <c r="F346" s="219"/>
      <c r="G346" s="1"/>
    </row>
    <row r="347">
      <c r="A347" s="115" t="s">
        <v>164</v>
      </c>
      <c r="B347" s="116" t="s">
        <v>43</v>
      </c>
      <c r="C347" s="323">
        <v>8</v>
      </c>
      <c r="D347" s="113">
        <v>22.25</v>
      </c>
      <c r="E347" s="117">
        <f t="shared" si="8"/>
        <v>14.833333333333334</v>
      </c>
      <c r="F347" s="219"/>
      <c r="G347" s="1"/>
    </row>
    <row r="348">
      <c r="A348" s="115" t="s">
        <v>165</v>
      </c>
      <c r="B348" s="116" t="s">
        <v>43</v>
      </c>
      <c r="C348" s="323">
        <v>15</v>
      </c>
      <c r="D348" s="113">
        <v>25</v>
      </c>
      <c r="E348" s="117">
        <f t="shared" si="8"/>
        <v>31.25</v>
      </c>
      <c r="F348" s="219"/>
      <c r="G348" s="1"/>
    </row>
    <row r="349">
      <c r="A349" s="115" t="s">
        <v>166</v>
      </c>
      <c r="B349" s="116" t="s">
        <v>43</v>
      </c>
      <c r="C349" s="323">
        <v>16</v>
      </c>
      <c r="D349" s="113">
        <v>2349</v>
      </c>
      <c r="E349" s="117">
        <f>D349*C349/24</f>
        <v>1566</v>
      </c>
      <c r="F349" s="219"/>
      <c r="G349" s="1"/>
    </row>
    <row r="350">
      <c r="A350" s="115" t="s">
        <v>167</v>
      </c>
      <c r="B350" s="116" t="s">
        <v>43</v>
      </c>
      <c r="C350" s="323">
        <v>2</v>
      </c>
      <c r="D350" s="113">
        <v>60</v>
      </c>
      <c r="E350" s="117">
        <v>120</v>
      </c>
      <c r="F350" s="219"/>
      <c r="G350" s="1"/>
    </row>
    <row r="351">
      <c r="A351" s="115" t="s">
        <v>168</v>
      </c>
      <c r="B351" s="116" t="s">
        <v>169</v>
      </c>
      <c r="C351" s="323">
        <v>12</v>
      </c>
      <c r="D351" s="113">
        <v>268.75</v>
      </c>
      <c r="E351" s="117">
        <f t="shared" ref="E351:E352" si="9">C351*D351</f>
        <v>3225</v>
      </c>
      <c r="F351" s="219"/>
      <c r="G351" s="1"/>
    </row>
    <row r="352">
      <c r="A352" s="115" t="s">
        <v>170</v>
      </c>
      <c r="B352" s="116" t="s">
        <v>171</v>
      </c>
      <c r="C352" s="323">
        <f>16*18*5</f>
        <v>1440</v>
      </c>
      <c r="D352" s="113">
        <v>5.7999999999999998</v>
      </c>
      <c r="E352" s="117">
        <f t="shared" si="9"/>
        <v>8352</v>
      </c>
      <c r="F352" s="219"/>
      <c r="G352" s="1"/>
    </row>
    <row r="353">
      <c r="A353" s="115" t="s">
        <v>172</v>
      </c>
      <c r="B353" s="116" t="s">
        <v>43</v>
      </c>
      <c r="C353" s="323">
        <v>10</v>
      </c>
      <c r="D353" s="113">
        <v>1556</v>
      </c>
      <c r="E353" s="117">
        <f>C353*D353/24</f>
        <v>648.33333333333337</v>
      </c>
      <c r="F353" s="219"/>
      <c r="G353" s="1"/>
    </row>
    <row r="354">
      <c r="A354" s="115" t="s">
        <v>173</v>
      </c>
      <c r="B354" s="116" t="s">
        <v>171</v>
      </c>
      <c r="C354" s="323">
        <f>14*5*10</f>
        <v>700</v>
      </c>
      <c r="D354" s="113">
        <v>5.7999999999999998</v>
      </c>
      <c r="E354" s="117">
        <f>C354*D354</f>
        <v>4060</v>
      </c>
      <c r="F354" s="219"/>
      <c r="G354" s="1"/>
    </row>
    <row r="355">
      <c r="A355" s="115" t="s">
        <v>174</v>
      </c>
      <c r="B355" s="116" t="s">
        <v>43</v>
      </c>
      <c r="C355" s="323">
        <v>5</v>
      </c>
      <c r="D355" s="113">
        <v>72.5</v>
      </c>
      <c r="E355" s="117">
        <f t="shared" ref="E355:E356" si="10">C355*D355/12</f>
        <v>30.208333333333332</v>
      </c>
      <c r="F355" s="219"/>
      <c r="G355" s="1"/>
    </row>
    <row r="356">
      <c r="A356" s="115" t="s">
        <v>175</v>
      </c>
      <c r="B356" s="116" t="s">
        <v>43</v>
      </c>
      <c r="C356" s="323">
        <v>24</v>
      </c>
      <c r="D356" s="113">
        <v>165</v>
      </c>
      <c r="E356" s="117">
        <f t="shared" si="10"/>
        <v>330</v>
      </c>
      <c r="F356" s="219"/>
      <c r="G356" s="1"/>
    </row>
    <row r="357">
      <c r="A357" s="115" t="s">
        <v>176</v>
      </c>
      <c r="B357" s="116" t="s">
        <v>177</v>
      </c>
      <c r="C357" s="323">
        <v>1800</v>
      </c>
      <c r="D357" s="113">
        <v>1.7</v>
      </c>
      <c r="E357" s="117">
        <f>C357*D357</f>
        <v>3060</v>
      </c>
      <c r="F357" s="219"/>
      <c r="G357" s="1"/>
    </row>
    <row r="358">
      <c r="A358" s="115" t="s">
        <v>178</v>
      </c>
      <c r="B358" s="116" t="s">
        <v>43</v>
      </c>
      <c r="C358" s="323">
        <v>4</v>
      </c>
      <c r="D358" s="113">
        <v>5.3700000000000001</v>
      </c>
      <c r="E358" s="117">
        <v>21.489999999999998</v>
      </c>
      <c r="F358" s="219"/>
      <c r="G358" s="1"/>
    </row>
    <row r="359">
      <c r="A359" s="115" t="s">
        <v>179</v>
      </c>
      <c r="B359" s="116" t="s">
        <v>43</v>
      </c>
      <c r="C359" s="323">
        <v>12</v>
      </c>
      <c r="D359" s="113">
        <v>31.25</v>
      </c>
      <c r="E359" s="117">
        <f t="shared" ref="E359:E360" si="11">C359*D359/12</f>
        <v>31.25</v>
      </c>
      <c r="F359" s="219"/>
      <c r="G359" s="1"/>
    </row>
    <row r="360">
      <c r="A360" s="115" t="s">
        <v>180</v>
      </c>
      <c r="B360" s="116" t="s">
        <v>43</v>
      </c>
      <c r="C360" s="323">
        <v>12</v>
      </c>
      <c r="D360" s="113">
        <v>13</v>
      </c>
      <c r="E360" s="117">
        <f t="shared" si="11"/>
        <v>13</v>
      </c>
      <c r="F360" s="219"/>
      <c r="G360" s="1"/>
    </row>
    <row r="361">
      <c r="A361" s="115" t="s">
        <v>181</v>
      </c>
      <c r="B361" s="116" t="s">
        <v>43</v>
      </c>
      <c r="C361" s="323">
        <v>2</v>
      </c>
      <c r="D361" s="113">
        <v>140</v>
      </c>
      <c r="E361" s="117">
        <f>C361*D361/2</f>
        <v>140</v>
      </c>
      <c r="F361" s="219"/>
      <c r="G361" s="1"/>
    </row>
    <row r="362">
      <c r="A362" s="115" t="s">
        <v>182</v>
      </c>
      <c r="B362" s="116" t="s">
        <v>43</v>
      </c>
      <c r="C362" s="323">
        <v>12</v>
      </c>
      <c r="D362" s="113">
        <v>320</v>
      </c>
      <c r="E362" s="117">
        <f>C362*D362/18</f>
        <v>213.33333333333334</v>
      </c>
      <c r="F362" s="219"/>
      <c r="G362" s="1"/>
    </row>
    <row r="363">
      <c r="A363" s="115" t="s">
        <v>183</v>
      </c>
      <c r="B363" s="116" t="s">
        <v>43</v>
      </c>
      <c r="C363" s="323">
        <v>900</v>
      </c>
      <c r="D363" s="113">
        <v>0.69999999999999996</v>
      </c>
      <c r="E363" s="117">
        <f t="shared" ref="E363:E366" si="12">C363*D363</f>
        <v>630</v>
      </c>
      <c r="F363" s="219"/>
      <c r="G363" s="1"/>
    </row>
    <row r="364">
      <c r="A364" s="115" t="s">
        <v>184</v>
      </c>
      <c r="B364" s="116" t="s">
        <v>185</v>
      </c>
      <c r="C364" s="323">
        <v>12</v>
      </c>
      <c r="D364" s="113">
        <v>68</v>
      </c>
      <c r="E364" s="117">
        <f t="shared" si="12"/>
        <v>816</v>
      </c>
      <c r="F364" s="219"/>
      <c r="G364" s="1"/>
    </row>
    <row r="365">
      <c r="A365" s="115" t="s">
        <v>186</v>
      </c>
      <c r="B365" s="116" t="s">
        <v>187</v>
      </c>
      <c r="C365" s="323">
        <v>0.16666666666666666</v>
      </c>
      <c r="D365" s="113">
        <v>5</v>
      </c>
      <c r="E365" s="117">
        <f t="shared" si="12"/>
        <v>0.83333333333333326</v>
      </c>
      <c r="F365" s="219"/>
      <c r="G365" s="1"/>
    </row>
    <row r="366" ht="13.5">
      <c r="A366" s="115" t="s">
        <v>188</v>
      </c>
      <c r="B366" s="116" t="s">
        <v>187</v>
      </c>
      <c r="C366" s="323">
        <v>8.3333333333333329e-002</v>
      </c>
      <c r="D366" s="113">
        <v>50</v>
      </c>
      <c r="E366" s="117">
        <f t="shared" si="12"/>
        <v>4.1666666666666661</v>
      </c>
      <c r="F366" s="219"/>
      <c r="G366" s="1"/>
    </row>
    <row r="367" ht="13.5">
      <c r="A367" s="34"/>
      <c r="B367" s="34"/>
      <c r="C367" s="34"/>
      <c r="D367" s="34"/>
      <c r="E367" s="40"/>
      <c r="F367" s="227">
        <f>SUM(E343:E366)</f>
        <v>23545.748333333333</v>
      </c>
      <c r="G367" s="1"/>
    </row>
    <row r="368" ht="11.25" customHeight="1">
      <c r="C368" s="1"/>
      <c r="D368" s="2"/>
      <c r="E368" s="2"/>
      <c r="F368" s="2"/>
      <c r="G368" s="1"/>
    </row>
    <row r="369" ht="13.5">
      <c r="A369" s="320" t="s">
        <v>189</v>
      </c>
      <c r="B369" s="321"/>
      <c r="C369" s="321"/>
      <c r="D369" s="60"/>
      <c r="E369" s="322"/>
      <c r="F369" s="227">
        <f>+F367</f>
        <v>23545.748333333333</v>
      </c>
      <c r="G369" s="1"/>
    </row>
    <row r="370" ht="11.25" customHeight="1">
      <c r="C370" s="1"/>
      <c r="D370" s="2"/>
      <c r="E370" s="2"/>
      <c r="F370" s="2"/>
      <c r="G370" s="1"/>
    </row>
    <row r="371">
      <c r="A371" s="34" t="s">
        <v>190</v>
      </c>
      <c r="B371" s="34"/>
      <c r="C371" s="34"/>
      <c r="D371" s="40"/>
      <c r="E371" s="40"/>
      <c r="F371" s="120"/>
    </row>
    <row r="372" ht="11.25" customHeight="1">
      <c r="C372" s="1"/>
      <c r="D372" s="2"/>
      <c r="E372" s="2"/>
      <c r="F372" s="2"/>
    </row>
    <row r="373" ht="13.5">
      <c r="A373" s="107" t="s">
        <v>21</v>
      </c>
      <c r="B373" s="108" t="s">
        <v>22</v>
      </c>
      <c r="C373" s="108" t="s">
        <v>14</v>
      </c>
      <c r="D373" s="109" t="s">
        <v>23</v>
      </c>
      <c r="E373" s="109" t="s">
        <v>24</v>
      </c>
      <c r="F373" s="110" t="s">
        <v>25</v>
      </c>
    </row>
    <row r="374">
      <c r="A374" s="115" t="s">
        <v>191</v>
      </c>
      <c r="B374" s="324" t="s">
        <v>187</v>
      </c>
      <c r="C374" s="325">
        <f>C129</f>
        <v>1</v>
      </c>
      <c r="D374" s="233">
        <v>0</v>
      </c>
      <c r="E374" s="117">
        <f>+D374*C374</f>
        <v>0</v>
      </c>
      <c r="F374" s="219"/>
    </row>
    <row r="375">
      <c r="A375" s="115" t="s">
        <v>192</v>
      </c>
      <c r="B375" s="324" t="s">
        <v>27</v>
      </c>
      <c r="C375" s="116">
        <v>60</v>
      </c>
      <c r="D375" s="326">
        <f>SUM(E374:E374)</f>
        <v>0</v>
      </c>
      <c r="E375" s="326">
        <f>+D375/C375</f>
        <v>0</v>
      </c>
      <c r="F375" s="219"/>
    </row>
    <row r="376">
      <c r="A376" s="115" t="s">
        <v>193</v>
      </c>
      <c r="B376" s="116" t="s">
        <v>43</v>
      </c>
      <c r="C376" s="325">
        <f>+C374</f>
        <v>1</v>
      </c>
      <c r="D376" s="233">
        <v>0</v>
      </c>
      <c r="E376" s="117">
        <f>C376*D376</f>
        <v>0</v>
      </c>
      <c r="F376" s="219"/>
    </row>
    <row r="377" ht="13.5">
      <c r="A377" s="115" t="s">
        <v>194</v>
      </c>
      <c r="B377" s="324" t="s">
        <v>27</v>
      </c>
      <c r="C377" s="116">
        <v>1</v>
      </c>
      <c r="D377" s="326">
        <f>+E376</f>
        <v>0</v>
      </c>
      <c r="E377" s="326">
        <f>+D377/C377</f>
        <v>0</v>
      </c>
      <c r="F377" s="219"/>
    </row>
    <row r="378" ht="13.5">
      <c r="A378" s="327"/>
      <c r="B378" s="327"/>
      <c r="C378" s="327"/>
      <c r="D378" s="124" t="s">
        <v>34</v>
      </c>
      <c r="E378" s="125">
        <f>$B$55</f>
        <v>1</v>
      </c>
      <c r="F378" s="227">
        <f>(E375+E377)*E378</f>
        <v>0</v>
      </c>
    </row>
    <row r="379" s="328" customFormat="1" ht="11.25" customHeight="1">
      <c r="A379" s="1"/>
      <c r="B379" s="1"/>
      <c r="C379" s="1"/>
      <c r="D379" s="2"/>
      <c r="E379" s="2"/>
      <c r="F379" s="2"/>
      <c r="G379" s="329"/>
    </row>
    <row r="380" ht="13.5">
      <c r="A380" s="320" t="s">
        <v>195</v>
      </c>
      <c r="B380" s="321"/>
      <c r="C380" s="321"/>
      <c r="D380" s="60"/>
      <c r="E380" s="322"/>
      <c r="F380" s="227">
        <f>+F378</f>
        <v>0</v>
      </c>
    </row>
    <row r="381" ht="11.25" customHeight="1">
      <c r="D381" s="2"/>
      <c r="E381" s="2"/>
      <c r="F381" s="2"/>
    </row>
    <row r="382" ht="17.25" customHeight="1">
      <c r="A382" s="320" t="s">
        <v>196</v>
      </c>
      <c r="B382" s="330"/>
      <c r="C382" s="330"/>
      <c r="D382" s="331"/>
      <c r="E382" s="332"/>
      <c r="F382" s="333">
        <f>+F95+F121+F338+F369+F380</f>
        <v>294026.20135250239</v>
      </c>
    </row>
    <row r="383" ht="11.25" customHeight="1">
      <c r="D383" s="2"/>
      <c r="E383" s="2"/>
      <c r="F383" s="2"/>
    </row>
    <row r="384">
      <c r="A384" s="34" t="s">
        <v>197</v>
      </c>
      <c r="D384" s="2"/>
      <c r="E384" s="2"/>
      <c r="F384" s="2"/>
    </row>
    <row r="385" ht="11.25" customHeight="1">
      <c r="D385" s="2"/>
      <c r="E385" s="2"/>
      <c r="F385" s="2"/>
    </row>
    <row r="386" ht="13.5">
      <c r="A386" s="107" t="s">
        <v>21</v>
      </c>
      <c r="B386" s="108" t="s">
        <v>22</v>
      </c>
      <c r="C386" s="108" t="s">
        <v>14</v>
      </c>
      <c r="D386" s="109" t="s">
        <v>23</v>
      </c>
      <c r="E386" s="109" t="s">
        <v>24</v>
      </c>
      <c r="F386" s="110" t="s">
        <v>25</v>
      </c>
    </row>
    <row r="387" ht="13.5">
      <c r="A387" s="111" t="s">
        <v>198</v>
      </c>
      <c r="B387" s="112" t="s">
        <v>8</v>
      </c>
      <c r="C387" s="122">
        <v>29.399999999999999</v>
      </c>
      <c r="D387" s="114">
        <f>+F382</f>
        <v>294026.20135250239</v>
      </c>
      <c r="E387" s="114">
        <f>C387*D387/100</f>
        <v>86443.703197635696</v>
      </c>
      <c r="F387" s="2"/>
    </row>
    <row r="388" ht="13.5">
      <c r="D388" s="2"/>
      <c r="E388" s="2"/>
      <c r="F388" s="227">
        <f>+E387</f>
        <v>86443.703197635696</v>
      </c>
    </row>
    <row r="389" ht="11.25" customHeight="1">
      <c r="D389" s="2"/>
      <c r="E389" s="2"/>
      <c r="F389" s="2"/>
    </row>
    <row r="390" ht="13.5">
      <c r="A390" s="320" t="s">
        <v>199</v>
      </c>
      <c r="B390" s="330"/>
      <c r="C390" s="330"/>
      <c r="D390" s="331"/>
      <c r="E390" s="332"/>
      <c r="F390" s="333">
        <f>F388</f>
        <v>86443.703197635696</v>
      </c>
    </row>
    <row r="391">
      <c r="A391" s="34"/>
      <c r="B391" s="34"/>
      <c r="C391" s="34"/>
      <c r="D391" s="40"/>
      <c r="E391" s="40"/>
      <c r="F391" s="120"/>
    </row>
    <row r="392" ht="11.25" customHeight="1">
      <c r="F392" s="2"/>
    </row>
    <row r="393" ht="24.75" customHeight="1">
      <c r="A393" s="320" t="s">
        <v>200</v>
      </c>
      <c r="B393" s="330"/>
      <c r="C393" s="330"/>
      <c r="D393" s="331"/>
      <c r="E393" s="332"/>
      <c r="F393" s="333">
        <f>F382+F390</f>
        <v>380469.9045501381</v>
      </c>
    </row>
    <row r="394" ht="12.6" customHeight="1">
      <c r="A394" s="334"/>
      <c r="B394" s="334"/>
      <c r="C394" s="334"/>
      <c r="D394" s="335"/>
      <c r="E394" s="335"/>
      <c r="F394" s="335"/>
    </row>
    <row r="395" ht="14.25" customHeight="1">
      <c r="A395" s="336" t="s">
        <v>201</v>
      </c>
      <c r="B395" s="337"/>
      <c r="C395" s="337"/>
      <c r="D395" s="337"/>
      <c r="E395" s="338"/>
      <c r="F395" s="339">
        <f>F393*12-0.05</f>
        <v>4565638.8046016572</v>
      </c>
    </row>
    <row r="396" ht="13.5" customHeight="1">
      <c r="A396" s="340"/>
      <c r="B396" s="341"/>
      <c r="C396" s="341"/>
      <c r="D396" s="341"/>
      <c r="E396" s="342"/>
      <c r="F396" s="343"/>
    </row>
    <row r="397" ht="12.6" customHeight="1">
      <c r="A397" s="34"/>
      <c r="B397" s="34"/>
      <c r="C397" s="34"/>
      <c r="D397" s="40"/>
      <c r="E397" s="40"/>
      <c r="F397" s="40"/>
    </row>
    <row r="398" s="17" customFormat="1" ht="9.75" customHeight="1">
      <c r="A398" s="335"/>
      <c r="B398" s="2"/>
      <c r="C398" s="2"/>
      <c r="D398" s="2"/>
      <c r="E398" s="2"/>
      <c r="F398" s="2"/>
      <c r="G398" s="24"/>
    </row>
    <row r="399" s="17" customFormat="1" ht="9.75" customHeight="1">
      <c r="A399" s="335"/>
      <c r="B399" s="2"/>
      <c r="C399" s="2"/>
      <c r="D399" s="2"/>
      <c r="E399" s="2"/>
      <c r="F399" s="2"/>
      <c r="G399" s="24"/>
    </row>
    <row r="400" s="17" customFormat="1" ht="9.75" customHeight="1">
      <c r="A400" s="335"/>
      <c r="B400" s="2"/>
      <c r="C400" s="2"/>
      <c r="D400" s="2"/>
      <c r="E400" s="2"/>
      <c r="F400" s="2"/>
      <c r="G400" s="24"/>
    </row>
    <row r="430" s="1" customFormat="1" ht="9" customHeight="1"/>
  </sheetData>
  <mergeCells count="13">
    <mergeCell ref="A1:F1"/>
    <mergeCell ref="A2:F2"/>
    <mergeCell ref="A3:F3"/>
    <mergeCell ref="A4:F4"/>
    <mergeCell ref="A5:F5"/>
    <mergeCell ref="A7:F7"/>
    <mergeCell ref="A14:C14"/>
    <mergeCell ref="A43:E43"/>
    <mergeCell ref="A44:D44"/>
    <mergeCell ref="A49:D49"/>
    <mergeCell ref="A199:D199"/>
    <mergeCell ref="A395:E396"/>
    <mergeCell ref="F395:F396"/>
  </mergeCells>
  <hyperlinks>
    <hyperlink location="AbaDeprec" ref="A127"/>
    <hyperlink location="AbaRemun" ref="A143"/>
    <hyperlink location="AbaRemun" ref="A212"/>
  </hyperlinks>
  <printOptions headings="0" gridLines="0"/>
  <pageMargins left="0.90551181102362222" right="0.51181102362204722" top="0.74803149606299213" bottom="0.74803149606299213" header="0.31496062992125984" footer="0.31496062992125984"/>
  <pageSetup paperSize="9" scale="75" fitToWidth="1" fitToHeight="0" pageOrder="downThenOver" orientation="portrait" usePrinterDefaults="1" blackAndWhite="0" draft="0" cellComments="none" useFirstPageNumber="0" errors="displayed" horizontalDpi="600" verticalDpi="600" copies="1"/>
  <headerFooter alignWithMargins="0">
    <oddFooter>&amp;R&amp;P de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:B1"/>
    </sheetView>
  </sheetViews>
  <sheetFormatPr defaultRowHeight="19.5" customHeight="1"/>
  <cols>
    <col customWidth="1" min="1" max="1" style="154" width="24.5703125"/>
    <col customWidth="1" min="2" max="2" style="154" width="20.85546875"/>
    <col min="3" max="16384" style="154" width="9.140625"/>
  </cols>
  <sheetData>
    <row r="1" ht="19.5" customHeight="1">
      <c r="A1" s="344" t="s">
        <v>202</v>
      </c>
      <c r="B1" s="345"/>
    </row>
    <row r="2" s="346" customFormat="1" ht="19.5" customHeight="1">
      <c r="A2" s="347" t="s">
        <v>203</v>
      </c>
      <c r="B2" s="348" t="s">
        <v>204</v>
      </c>
    </row>
    <row r="3" ht="19.5" customHeight="1">
      <c r="A3" s="349">
        <v>1</v>
      </c>
      <c r="B3" s="350">
        <v>33.629999999999995</v>
      </c>
    </row>
    <row r="4" ht="19.5" customHeight="1">
      <c r="A4" s="349">
        <v>2</v>
      </c>
      <c r="B4" s="350">
        <v>43.130000000000003</v>
      </c>
    </row>
    <row r="5" ht="19.5" customHeight="1">
      <c r="A5" s="349">
        <v>3</v>
      </c>
      <c r="B5" s="350">
        <v>48.68</v>
      </c>
    </row>
    <row r="6" ht="19.5" customHeight="1">
      <c r="A6" s="349">
        <v>4</v>
      </c>
      <c r="B6" s="350">
        <v>52.619999999999997</v>
      </c>
    </row>
    <row r="7" ht="19.5" customHeight="1">
      <c r="A7" s="349">
        <v>5</v>
      </c>
      <c r="B7" s="350">
        <v>55.679999999999993</v>
      </c>
    </row>
    <row r="8" ht="19.5" customHeight="1">
      <c r="A8" s="349">
        <v>6</v>
      </c>
      <c r="B8" s="350">
        <v>58.18</v>
      </c>
    </row>
    <row r="9" ht="19.5" customHeight="1">
      <c r="A9" s="349">
        <v>7</v>
      </c>
      <c r="B9" s="350">
        <v>60.289999999999999</v>
      </c>
    </row>
    <row r="10" ht="19.5" customHeight="1">
      <c r="A10" s="349">
        <v>8</v>
      </c>
      <c r="B10" s="350">
        <v>62.119999999999997</v>
      </c>
    </row>
    <row r="11" ht="19.5" customHeight="1">
      <c r="A11" s="349">
        <v>9</v>
      </c>
      <c r="B11" s="350">
        <v>63.729999999999997</v>
      </c>
    </row>
    <row r="12" ht="19.5" customHeight="1">
      <c r="A12" s="349">
        <v>10</v>
      </c>
      <c r="B12" s="350">
        <v>65.180000000000007</v>
      </c>
    </row>
    <row r="13" ht="19.5" customHeight="1">
      <c r="A13" s="349">
        <v>11</v>
      </c>
      <c r="B13" s="350">
        <v>66.47999999999999</v>
      </c>
    </row>
    <row r="14" ht="19.5" customHeight="1">
      <c r="A14" s="349">
        <v>12</v>
      </c>
      <c r="B14" s="350">
        <v>67.670000000000002</v>
      </c>
    </row>
    <row r="15" ht="19.5" customHeight="1">
      <c r="A15" s="349">
        <v>13</v>
      </c>
      <c r="B15" s="350">
        <v>68.769999999999996</v>
      </c>
    </row>
    <row r="16" ht="19.5" customHeight="1">
      <c r="A16" s="349">
        <v>14</v>
      </c>
      <c r="B16" s="350">
        <v>69.789999999999992</v>
      </c>
    </row>
    <row r="17" ht="19.5" customHeight="1">
      <c r="A17" s="351">
        <v>15</v>
      </c>
      <c r="B17" s="352">
        <v>70.730000000000004</v>
      </c>
    </row>
  </sheetData>
  <mergeCells count="1">
    <mergeCell ref="A1:B1"/>
  </mergeCells>
  <printOptions headings="0" gridLines="0"/>
  <pageMargins left="0.90551181102362177" right="0.51181102362204722" top="0.74803149606299213" bottom="0.74803149606299213" header="0.31496062992125984" footer="0.31496062992125984"/>
  <pageSetup paperSize="9" scale="100" fitToWidth="1" fitToHeight="1" pageOrder="downThenOver" orientation="portrait" usePrinterDefaults="1" blackAndWhite="0" draft="0" cellComments="none" useFirstPageNumber="0" errors="displayed" horizontalDpi="600" verticalDpi="597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24" activeCellId="0" sqref="A24"/>
    </sheetView>
  </sheetViews>
  <sheetFormatPr defaultRowHeight="12.75"/>
  <cols>
    <col customWidth="1" min="1" max="1" style="154" width="70.42578125"/>
    <col min="2" max="3" style="154" width="9.140625"/>
    <col bestFit="1" customWidth="1" min="4" max="4" style="154" width="12.85546875"/>
    <col min="5" max="16384" style="154" width="9.140625"/>
  </cols>
  <sheetData>
    <row r="1" ht="16.5">
      <c r="A1" s="353" t="s">
        <v>205</v>
      </c>
    </row>
    <row r="2">
      <c r="A2" s="354"/>
    </row>
    <row r="3">
      <c r="A3" s="354" t="s">
        <v>206</v>
      </c>
    </row>
    <row r="4">
      <c r="A4" s="354"/>
    </row>
    <row r="5">
      <c r="A5" s="354"/>
    </row>
    <row r="6">
      <c r="A6" s="354"/>
    </row>
    <row r="7">
      <c r="A7" s="354"/>
    </row>
    <row r="8">
      <c r="A8" s="354"/>
    </row>
    <row r="9">
      <c r="A9" s="354"/>
    </row>
    <row r="10">
      <c r="A10" s="354"/>
    </row>
    <row r="11">
      <c r="A11" s="354"/>
    </row>
    <row r="12" ht="15">
      <c r="A12" s="355" t="s">
        <v>207</v>
      </c>
    </row>
    <row r="13" ht="15">
      <c r="A13" s="355" t="s">
        <v>208</v>
      </c>
    </row>
    <row r="14" ht="15">
      <c r="A14" s="355" t="s">
        <v>209</v>
      </c>
    </row>
    <row r="15" ht="15">
      <c r="A15" s="355" t="s">
        <v>210</v>
      </c>
    </row>
    <row r="16" ht="15">
      <c r="A16" s="355" t="s">
        <v>211</v>
      </c>
    </row>
    <row r="17" ht="15">
      <c r="A17" s="356" t="s">
        <v>212</v>
      </c>
    </row>
  </sheetData>
  <printOptions headings="0" gridLines="0"/>
  <pageMargins left="0.90551181102362177" right="0.51181102362204722" top="0.74803149606299213" bottom="0.74803149606299213" header="0.31496062992125984" footer="0.31496062992125984"/>
  <pageSetup paperSize="9" scale="100" fitToWidth="1" fitToHeight="1" pageOrder="downThenOver" orientation="portrait" usePrinterDefaults="1" blackAndWhite="0" draft="0" cellComments="none" useFirstPageNumber="0" errors="displayed" horizontalDpi="600" verticalDpi="597" copies="1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Company>dmlu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revision>15</cp:revision>
  <dcterms:created xsi:type="dcterms:W3CDTF">2000-12-13T10:02:50Z</dcterms:created>
  <dcterms:modified xsi:type="dcterms:W3CDTF">2023-07-04T15:48:23Z</dcterms:modified>
</cp:coreProperties>
</file>