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ANO 2023\CONCORRÊNCIA\CP XXX 2023 - MANUTENÇÃO, REVISÃO E MELHORIAS NO SISTEMA DE ILUMINAÇÃO PÚBLICA E REDES ELÉTRICAS E LÓGICAS PREDIAIS\"/>
    </mc:Choice>
  </mc:AlternateContent>
  <bookViews>
    <workbookView xWindow="0" yWindow="0" windowWidth="28800" windowHeight="12315" tabRatio="802"/>
  </bookViews>
  <sheets>
    <sheet name="1.1 ORÇ. EQUIPE ELÉTRICA" sheetId="2" r:id="rId1"/>
    <sheet name="1.2CRONOGRAMA FISICO FINANCEIRO" sheetId="13" r:id="rId2"/>
    <sheet name="1.3 RESUMO EQUIPE" sheetId="11" r:id="rId3"/>
    <sheet name="1.4 ENCARGOS SOCIAIS" sheetId="10" r:id="rId4"/>
    <sheet name="1.5 BDI" sheetId="12" r:id="rId5"/>
    <sheet name="1.6 DEPRECIAÇÃO" sheetId="6" r:id="rId6"/>
    <sheet name="1.7 REMUNERAÇÃO DE CAPITAL" sheetId="7" r:id="rId7"/>
  </sheets>
  <definedNames>
    <definedName name="AbaDeprec">'1.6 DEPRECIAÇÃO'!$A$1</definedName>
    <definedName name="AbaRemun">'1.7 REMUNERAÇÃO DE CAPITAL'!$A$1</definedName>
    <definedName name="_xlnm.Print_Area" localSheetId="0">'1.1 ORÇ. EQUIPE ELÉTRICA'!$A$1:$F$507</definedName>
    <definedName name="_xlnm.Print_Area" localSheetId="1">#N/A</definedName>
    <definedName name="_xlnm.Print_Area" localSheetId="3">'1.4 ENCARGOS SOCIAIS'!$A$1:$J$48</definedName>
    <definedName name="_xlnm.Print_Area" localSheetId="4">'1.5 BDI'!$A$1:$D$30</definedName>
    <definedName name="_xlnm.Print_Titles" localSheetId="0">'1.1 ORÇ. EQUIPE ELÉTRICA'!$1:$6</definedName>
  </definedNames>
  <calcPr calcId="152511"/>
</workbook>
</file>

<file path=xl/calcChain.xml><?xml version="1.0" encoding="utf-8"?>
<calcChain xmlns="http://schemas.openxmlformats.org/spreadsheetml/2006/main">
  <c r="C21" i="13" l="1"/>
  <c r="C301" i="2" l="1"/>
  <c r="F140" i="2"/>
  <c r="A57" i="2" l="1"/>
  <c r="C204" i="2"/>
  <c r="C198" i="2"/>
  <c r="E62" i="2"/>
  <c r="D20" i="13"/>
  <c r="D19" i="13"/>
  <c r="D18" i="13"/>
  <c r="D17" i="13"/>
  <c r="D16" i="13"/>
  <c r="D15" i="13"/>
  <c r="D14" i="13"/>
  <c r="D13" i="13"/>
  <c r="D12" i="13"/>
  <c r="D11" i="13"/>
  <c r="D10" i="13"/>
  <c r="D21" i="13" s="1"/>
  <c r="D9" i="13"/>
  <c r="B433" i="2" l="1"/>
  <c r="B297" i="2"/>
  <c r="F489" i="2" l="1"/>
  <c r="D488" i="2"/>
  <c r="B370" i="2" l="1"/>
  <c r="E482" i="2" l="1"/>
  <c r="D14" i="12" l="1"/>
  <c r="D24" i="12" s="1"/>
  <c r="H13" i="12"/>
  <c r="H12" i="12"/>
  <c r="H11" i="12"/>
  <c r="H10" i="12"/>
  <c r="H9" i="12"/>
  <c r="C487" i="2"/>
  <c r="E487" i="2" s="1"/>
  <c r="C485" i="2"/>
  <c r="E485" i="2" s="1"/>
  <c r="C484" i="2"/>
  <c r="E484" i="2" s="1"/>
  <c r="C481" i="2"/>
  <c r="E481" i="2" s="1"/>
  <c r="C480" i="2"/>
  <c r="E480" i="2" s="1"/>
  <c r="C479" i="2"/>
  <c r="E479" i="2" s="1"/>
  <c r="C477" i="2"/>
  <c r="E477" i="2" s="1"/>
  <c r="C476" i="2"/>
  <c r="E476" i="2" s="1"/>
  <c r="C475" i="2"/>
  <c r="C474" i="2"/>
  <c r="E474" i="2" s="1"/>
  <c r="C473" i="2"/>
  <c r="E473" i="2" s="1"/>
  <c r="C472" i="2"/>
  <c r="C471" i="2"/>
  <c r="C470" i="2"/>
  <c r="C469" i="2"/>
  <c r="C468" i="2"/>
  <c r="E468" i="2" s="1"/>
  <c r="E475" i="2"/>
  <c r="E478" i="2"/>
  <c r="E483" i="2"/>
  <c r="E486" i="2"/>
  <c r="D426" i="2"/>
  <c r="C397" i="2"/>
  <c r="C395" i="2"/>
  <c r="E395" i="2" s="1"/>
  <c r="E393" i="2"/>
  <c r="D374" i="2"/>
  <c r="D376" i="2"/>
  <c r="D331" i="2"/>
  <c r="D396" i="2" l="1"/>
  <c r="E396" i="2" s="1"/>
  <c r="D397" i="2" s="1"/>
  <c r="E397" i="2" s="1"/>
  <c r="C374" i="2"/>
  <c r="C376" i="2" l="1"/>
  <c r="E376" i="2" s="1"/>
  <c r="E374" i="2"/>
  <c r="D263" i="2" l="1"/>
  <c r="D258" i="2"/>
  <c r="E232" i="2" l="1"/>
  <c r="E233" i="2"/>
  <c r="D204" i="2"/>
  <c r="E202" i="2"/>
  <c r="E204" i="2" l="1"/>
  <c r="F205" i="2" s="1"/>
  <c r="E23" i="2" l="1"/>
  <c r="D186" i="2"/>
  <c r="E186" i="2" s="1"/>
  <c r="D185" i="2"/>
  <c r="E185" i="2" s="1"/>
  <c r="E184" i="2"/>
  <c r="A67" i="2"/>
  <c r="A66" i="2"/>
  <c r="D187" i="2" l="1"/>
  <c r="E187" i="2" s="1"/>
  <c r="D188" i="2" s="1"/>
  <c r="E188" i="2" s="1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E223" i="2"/>
  <c r="E224" i="2"/>
  <c r="E225" i="2"/>
  <c r="E226" i="2"/>
  <c r="E227" i="2"/>
  <c r="E228" i="2"/>
  <c r="E229" i="2"/>
  <c r="E230" i="2"/>
  <c r="E231" i="2"/>
  <c r="E469" i="2"/>
  <c r="E470" i="2"/>
  <c r="E471" i="2"/>
  <c r="E472" i="2"/>
  <c r="C460" i="2"/>
  <c r="C458" i="2"/>
  <c r="E458" i="2" s="1"/>
  <c r="E456" i="2"/>
  <c r="D445" i="2"/>
  <c r="D443" i="2"/>
  <c r="D441" i="2"/>
  <c r="D439" i="2"/>
  <c r="D437" i="2"/>
  <c r="C437" i="2"/>
  <c r="C439" i="2" s="1"/>
  <c r="E430" i="2"/>
  <c r="C428" i="2"/>
  <c r="E428" i="2" s="1"/>
  <c r="C427" i="2"/>
  <c r="E427" i="2" s="1"/>
  <c r="C426" i="2"/>
  <c r="E422" i="2"/>
  <c r="C421" i="2"/>
  <c r="D415" i="2"/>
  <c r="E415" i="2" s="1"/>
  <c r="E411" i="2"/>
  <c r="C408" i="2"/>
  <c r="E404" i="2"/>
  <c r="D382" i="2"/>
  <c r="D380" i="2"/>
  <c r="D378" i="2"/>
  <c r="C382" i="2"/>
  <c r="C365" i="2"/>
  <c r="E365" i="2" s="1"/>
  <c r="C364" i="2"/>
  <c r="E364" i="2" s="1"/>
  <c r="C363" i="2"/>
  <c r="C358" i="2"/>
  <c r="C353" i="2"/>
  <c r="D352" i="2"/>
  <c r="D347" i="2"/>
  <c r="C340" i="2"/>
  <c r="C336" i="2"/>
  <c r="C352" i="2" s="1"/>
  <c r="C335" i="2"/>
  <c r="E331" i="2"/>
  <c r="A61" i="2"/>
  <c r="A60" i="2"/>
  <c r="A59" i="2"/>
  <c r="A58" i="2"/>
  <c r="A22" i="2"/>
  <c r="F491" i="2" l="1"/>
  <c r="E47" i="2" s="1"/>
  <c r="D459" i="2"/>
  <c r="E459" i="2" s="1"/>
  <c r="D460" i="2" s="1"/>
  <c r="E460" i="2" s="1"/>
  <c r="F461" i="2" s="1"/>
  <c r="E46" i="2" s="1"/>
  <c r="E347" i="2"/>
  <c r="D363" i="2"/>
  <c r="E382" i="2"/>
  <c r="E189" i="2"/>
  <c r="D190" i="2" s="1"/>
  <c r="E190" i="2" s="1"/>
  <c r="E191" i="2" s="1"/>
  <c r="D192" i="2" s="1"/>
  <c r="E192" i="2" s="1"/>
  <c r="F193" i="2" s="1"/>
  <c r="E21" i="2" s="1"/>
  <c r="E352" i="2"/>
  <c r="D383" i="2"/>
  <c r="C417" i="2"/>
  <c r="E439" i="2"/>
  <c r="D446" i="2"/>
  <c r="C445" i="2"/>
  <c r="E445" i="2" s="1"/>
  <c r="C443" i="2"/>
  <c r="E443" i="2" s="1"/>
  <c r="C451" i="2"/>
  <c r="E451" i="2" s="1"/>
  <c r="F452" i="2" s="1"/>
  <c r="E45" i="2" s="1"/>
  <c r="E437" i="2"/>
  <c r="C441" i="2"/>
  <c r="E441" i="2" s="1"/>
  <c r="C349" i="2"/>
  <c r="D407" i="2"/>
  <c r="E407" i="2" s="1"/>
  <c r="D408" i="2" s="1"/>
  <c r="E408" i="2" s="1"/>
  <c r="E409" i="2" s="1"/>
  <c r="F398" i="2"/>
  <c r="E39" i="2" s="1"/>
  <c r="E336" i="2"/>
  <c r="C380" i="2"/>
  <c r="E380" i="2" s="1"/>
  <c r="C388" i="2"/>
  <c r="E388" i="2" s="1"/>
  <c r="F389" i="2" s="1"/>
  <c r="E38" i="2" s="1"/>
  <c r="C378" i="2"/>
  <c r="E378" i="2" s="1"/>
  <c r="D334" i="2"/>
  <c r="E334" i="2" s="1"/>
  <c r="D335" i="2" s="1"/>
  <c r="E335" i="2" s="1"/>
  <c r="F447" i="2" l="1"/>
  <c r="E44" i="2" s="1"/>
  <c r="C350" i="2"/>
  <c r="D351" i="2" s="1"/>
  <c r="E351" i="2" s="1"/>
  <c r="C418" i="2"/>
  <c r="D419" i="2" s="1"/>
  <c r="E419" i="2" s="1"/>
  <c r="E420" i="2" s="1"/>
  <c r="D410" i="2"/>
  <c r="E410" i="2" s="1"/>
  <c r="F411" i="2" s="1"/>
  <c r="E41" i="2" s="1"/>
  <c r="F384" i="2"/>
  <c r="E37" i="2" s="1"/>
  <c r="C354" i="2"/>
  <c r="D339" i="2"/>
  <c r="E339" i="2" s="1"/>
  <c r="D340" i="2" s="1"/>
  <c r="E340" i="2" s="1"/>
  <c r="E341" i="2" s="1"/>
  <c r="D342" i="2" s="1"/>
  <c r="E342" i="2" s="1"/>
  <c r="F343" i="2" s="1"/>
  <c r="E34" i="2" s="1"/>
  <c r="C355" i="2" l="1"/>
  <c r="D356" i="2" s="1"/>
  <c r="E356" i="2" s="1"/>
  <c r="E357" i="2" s="1"/>
  <c r="D358" i="2" s="1"/>
  <c r="E358" i="2" s="1"/>
  <c r="F359" i="2" s="1"/>
  <c r="E35" i="2" s="1"/>
  <c r="D421" i="2"/>
  <c r="E421" i="2" s="1"/>
  <c r="F422" i="2" s="1"/>
  <c r="E42" i="2" s="1"/>
  <c r="A21" i="2"/>
  <c r="A20" i="2"/>
  <c r="A19" i="2"/>
  <c r="A18" i="2"/>
  <c r="A23" i="2" l="1"/>
  <c r="D173" i="2" l="1"/>
  <c r="E173" i="2" s="1"/>
  <c r="D172" i="2"/>
  <c r="E172" i="2" s="1"/>
  <c r="E171" i="2"/>
  <c r="E167" i="2"/>
  <c r="D160" i="2"/>
  <c r="E160" i="2" s="1"/>
  <c r="D159" i="2"/>
  <c r="E159" i="2" s="1"/>
  <c r="E158" i="2"/>
  <c r="D198" i="2" s="1"/>
  <c r="E153" i="2"/>
  <c r="D146" i="2"/>
  <c r="E146" i="2" s="1"/>
  <c r="D145" i="2"/>
  <c r="E145" i="2" s="1"/>
  <c r="E144" i="2"/>
  <c r="E85" i="2"/>
  <c r="D174" i="2" l="1"/>
  <c r="E174" i="2" s="1"/>
  <c r="D175" i="2" s="1"/>
  <c r="E175" i="2" s="1"/>
  <c r="D161" i="2"/>
  <c r="E161" i="2" s="1"/>
  <c r="D162" i="2" s="1"/>
  <c r="E162" i="2" s="1"/>
  <c r="D147" i="2"/>
  <c r="E147" i="2" s="1"/>
  <c r="D148" i="2" s="1"/>
  <c r="E148" i="2" s="1"/>
  <c r="E149" i="2" s="1"/>
  <c r="E176" i="2" l="1"/>
  <c r="E163" i="2"/>
  <c r="D150" i="2"/>
  <c r="E150" i="2" s="1"/>
  <c r="E151" i="2" s="1"/>
  <c r="D152" i="2" s="1"/>
  <c r="E152" i="2" s="1"/>
  <c r="F153" i="2" s="1"/>
  <c r="E18" i="2" s="1"/>
  <c r="D177" i="2" l="1"/>
  <c r="E177" i="2" s="1"/>
  <c r="E178" i="2" s="1"/>
  <c r="D179" i="2" s="1"/>
  <c r="E179" i="2" s="1"/>
  <c r="F180" i="2" s="1"/>
  <c r="E20" i="2" s="1"/>
  <c r="D164" i="2"/>
  <c r="E164" i="2" s="1"/>
  <c r="E165" i="2" s="1"/>
  <c r="D166" i="2" s="1"/>
  <c r="E166" i="2" s="1"/>
  <c r="F167" i="2" s="1"/>
  <c r="E19" i="2" s="1"/>
  <c r="C291" i="2" l="1"/>
  <c r="C290" i="2"/>
  <c r="C292" i="2"/>
  <c r="A48" i="2" l="1"/>
  <c r="A47" i="2"/>
  <c r="A25" i="2"/>
  <c r="A24" i="2"/>
  <c r="A13" i="2"/>
  <c r="C261" i="2" l="1"/>
  <c r="C266" i="2"/>
  <c r="C285" i="2" l="1"/>
  <c r="C280" i="2"/>
  <c r="D309" i="2"/>
  <c r="D307" i="2"/>
  <c r="D305" i="2"/>
  <c r="D303" i="2"/>
  <c r="E240" i="2" l="1"/>
  <c r="E215" i="2"/>
  <c r="E216" i="2"/>
  <c r="E217" i="2"/>
  <c r="E218" i="2"/>
  <c r="E219" i="2"/>
  <c r="E220" i="2"/>
  <c r="E221" i="2"/>
  <c r="E222" i="2"/>
  <c r="E214" i="2"/>
  <c r="D234" i="2" l="1"/>
  <c r="E234" i="2" s="1"/>
  <c r="F235" i="2" s="1"/>
  <c r="D78" i="2"/>
  <c r="E78" i="2" s="1"/>
  <c r="D77" i="2"/>
  <c r="E77" i="2" s="1"/>
  <c r="D110" i="2"/>
  <c r="E110" i="2" s="1"/>
  <c r="C129" i="2"/>
  <c r="D79" i="2" l="1"/>
  <c r="E79" i="2" s="1"/>
  <c r="C132" i="2"/>
  <c r="D111" i="2"/>
  <c r="E111" i="2" s="1"/>
  <c r="D112" i="2" s="1"/>
  <c r="E112" i="2" s="1"/>
  <c r="C97" i="2"/>
  <c r="C94" i="2"/>
  <c r="C324" i="2" l="1"/>
  <c r="D124" i="2"/>
  <c r="A32" i="2"/>
  <c r="A31" i="2"/>
  <c r="A30" i="2"/>
  <c r="A29" i="2"/>
  <c r="A28" i="2"/>
  <c r="A27" i="2"/>
  <c r="A26" i="2"/>
  <c r="A17" i="2"/>
  <c r="A16" i="2"/>
  <c r="A15" i="2"/>
  <c r="A14" i="2"/>
  <c r="E294" i="2"/>
  <c r="E286" i="2"/>
  <c r="E270" i="2"/>
  <c r="E248" i="2"/>
  <c r="E119" i="2"/>
  <c r="D274" i="2"/>
  <c r="C126" i="2"/>
  <c r="D123" i="2"/>
  <c r="E108" i="2"/>
  <c r="C322" i="2"/>
  <c r="E322" i="2" s="1"/>
  <c r="C303" i="2"/>
  <c r="E303" i="2" s="1"/>
  <c r="D301" i="2"/>
  <c r="D310" i="2" s="1"/>
  <c r="E258" i="2"/>
  <c r="D279" i="2"/>
  <c r="C267" i="2"/>
  <c r="C262" i="2"/>
  <c r="C91" i="2"/>
  <c r="D89" i="2"/>
  <c r="C263" i="2"/>
  <c r="C279" i="2" s="1"/>
  <c r="A54" i="2"/>
  <c r="A55" i="2"/>
  <c r="A56" i="2"/>
  <c r="A65" i="2"/>
  <c r="E76" i="2"/>
  <c r="E241" i="2"/>
  <c r="E242" i="2"/>
  <c r="E243" i="2"/>
  <c r="E244" i="2"/>
  <c r="E245" i="2"/>
  <c r="E246" i="2"/>
  <c r="E320" i="2"/>
  <c r="E292" i="2"/>
  <c r="E291" i="2"/>
  <c r="D129" i="2" l="1"/>
  <c r="E129" i="2" s="1"/>
  <c r="D127" i="2"/>
  <c r="E127" i="2" s="1"/>
  <c r="D126" i="2"/>
  <c r="E126" i="2" s="1"/>
  <c r="D247" i="2"/>
  <c r="D114" i="2"/>
  <c r="E114" i="2" s="1"/>
  <c r="E115" i="2" s="1"/>
  <c r="E363" i="2"/>
  <c r="D366" i="2" s="1"/>
  <c r="E366" i="2" s="1"/>
  <c r="F367" i="2" s="1"/>
  <c r="E426" i="2"/>
  <c r="D429" i="2" s="1"/>
  <c r="E429" i="2" s="1"/>
  <c r="F430" i="2" s="1"/>
  <c r="E43" i="2" s="1"/>
  <c r="E40" i="2" s="1"/>
  <c r="D261" i="2"/>
  <c r="E261" i="2" s="1"/>
  <c r="D290" i="2"/>
  <c r="D97" i="2"/>
  <c r="E97" i="2" s="1"/>
  <c r="D92" i="2"/>
  <c r="E92" i="2" s="1"/>
  <c r="E123" i="2"/>
  <c r="D130" i="2"/>
  <c r="E130" i="2" s="1"/>
  <c r="D132" i="2"/>
  <c r="E132" i="2" s="1"/>
  <c r="D95" i="2"/>
  <c r="E95" i="2" s="1"/>
  <c r="D94" i="2"/>
  <c r="E94" i="2" s="1"/>
  <c r="C307" i="2"/>
  <c r="E307" i="2" s="1"/>
  <c r="D91" i="2"/>
  <c r="E91" i="2" s="1"/>
  <c r="C309" i="2"/>
  <c r="E309" i="2" s="1"/>
  <c r="E301" i="2"/>
  <c r="E89" i="2"/>
  <c r="E263" i="2"/>
  <c r="C281" i="2" s="1"/>
  <c r="E279" i="2"/>
  <c r="D80" i="2"/>
  <c r="E80" i="2" s="1"/>
  <c r="E81" i="2" s="1"/>
  <c r="D82" i="2" s="1"/>
  <c r="C305" i="2"/>
  <c r="E305" i="2" s="1"/>
  <c r="C315" i="2"/>
  <c r="E315" i="2" s="1"/>
  <c r="F316" i="2" s="1"/>
  <c r="E31" i="2" s="1"/>
  <c r="E274" i="2"/>
  <c r="D323" i="2"/>
  <c r="E36" i="2" l="1"/>
  <c r="F463" i="2"/>
  <c r="D98" i="2"/>
  <c r="E98" i="2" s="1"/>
  <c r="D99" i="2" s="1"/>
  <c r="E99" i="2" s="1"/>
  <c r="E323" i="2"/>
  <c r="D324" i="2" s="1"/>
  <c r="E324" i="2" s="1"/>
  <c r="F325" i="2" s="1"/>
  <c r="E32" i="2" s="1"/>
  <c r="F311" i="2"/>
  <c r="E30" i="2" s="1"/>
  <c r="D262" i="2"/>
  <c r="E262" i="2" s="1"/>
  <c r="E290" i="2"/>
  <c r="C276" i="2"/>
  <c r="C277" i="2" s="1"/>
  <c r="D278" i="2" s="1"/>
  <c r="E278" i="2" s="1"/>
  <c r="D133" i="2"/>
  <c r="E133" i="2" s="1"/>
  <c r="D135" i="2" s="1"/>
  <c r="E135" i="2" s="1"/>
  <c r="E247" i="2"/>
  <c r="F248" i="2" s="1"/>
  <c r="F250" i="2" s="1"/>
  <c r="E24" i="2" s="1"/>
  <c r="D266" i="2"/>
  <c r="E266" i="2" s="1"/>
  <c r="D267" i="2" s="1"/>
  <c r="E267" i="2" s="1"/>
  <c r="D116" i="2"/>
  <c r="D293" i="2" l="1"/>
  <c r="E293" i="2" s="1"/>
  <c r="F294" i="2" s="1"/>
  <c r="E29" i="2" s="1"/>
  <c r="E268" i="2"/>
  <c r="D269" i="2" s="1"/>
  <c r="E269" i="2" s="1"/>
  <c r="F270" i="2" s="1"/>
  <c r="E27" i="2" s="1"/>
  <c r="C282" i="2"/>
  <c r="D283" i="2" s="1"/>
  <c r="E283" i="2" s="1"/>
  <c r="E284" i="2" s="1"/>
  <c r="D285" i="2" s="1"/>
  <c r="E285" i="2" s="1"/>
  <c r="F286" i="2" s="1"/>
  <c r="E28" i="2" s="1"/>
  <c r="E136" i="2"/>
  <c r="E100" i="2"/>
  <c r="E33" i="2" l="1"/>
  <c r="E25" i="2"/>
  <c r="D137" i="2"/>
  <c r="E198" i="2"/>
  <c r="F199" i="2" s="1"/>
  <c r="D101" i="2"/>
  <c r="E22" i="2" l="1"/>
  <c r="E26" i="2"/>
  <c r="E101" i="2"/>
  <c r="E102" i="2" s="1"/>
  <c r="D103" i="2" s="1"/>
  <c r="E103" i="2" s="1"/>
  <c r="F104" i="2" s="1"/>
  <c r="E15" i="2" s="1"/>
  <c r="E82" i="2"/>
  <c r="E83" i="2" s="1"/>
  <c r="E137" i="2"/>
  <c r="E138" i="2" s="1"/>
  <c r="D139" i="2" s="1"/>
  <c r="E139" i="2" s="1"/>
  <c r="E17" i="2" s="1"/>
  <c r="E116" i="2"/>
  <c r="E117" i="2" s="1"/>
  <c r="D118" i="2" s="1"/>
  <c r="E118" i="2" s="1"/>
  <c r="F119" i="2" s="1"/>
  <c r="E16" i="2" s="1"/>
  <c r="D84" i="2" l="1"/>
  <c r="E84" i="2" s="1"/>
  <c r="F85" i="2" s="1"/>
  <c r="E14" i="2" s="1"/>
  <c r="F207" i="2" l="1"/>
  <c r="F494" i="2" s="1"/>
  <c r="D499" i="2" l="1"/>
  <c r="E499" i="2" s="1"/>
  <c r="F500" i="2" s="1"/>
  <c r="F502" i="2" s="1"/>
  <c r="F505" i="2" s="1"/>
  <c r="E13" i="2"/>
  <c r="E48" i="2" l="1"/>
  <c r="E49" i="2" s="1"/>
  <c r="C9" i="13" l="1"/>
  <c r="F14" i="2"/>
  <c r="F29" i="2"/>
  <c r="F45" i="2"/>
  <c r="F16" i="2"/>
  <c r="F35" i="2"/>
  <c r="F17" i="2"/>
  <c r="F23" i="2"/>
  <c r="F39" i="2"/>
  <c r="F36" i="2"/>
  <c r="F42" i="2"/>
  <c r="F24" i="2"/>
  <c r="F25" i="2"/>
  <c r="F28" i="2"/>
  <c r="F15" i="2"/>
  <c r="F18" i="2"/>
  <c r="F19" i="2"/>
  <c r="F38" i="2"/>
  <c r="F20" i="2"/>
  <c r="F13" i="2"/>
  <c r="F26" i="2"/>
  <c r="F43" i="2"/>
  <c r="F48" i="2"/>
  <c r="F30" i="2"/>
  <c r="F47" i="2"/>
  <c r="F27" i="2"/>
  <c r="F41" i="2"/>
  <c r="F31" i="2"/>
  <c r="C10" i="13" l="1"/>
  <c r="C11" i="13" s="1"/>
  <c r="C12" i="13" s="1"/>
  <c r="C13" i="13" s="1"/>
  <c r="C14" i="13" s="1"/>
  <c r="C15" i="13" s="1"/>
  <c r="C16" i="13" s="1"/>
  <c r="C17" i="13" s="1"/>
  <c r="C18" i="13" s="1"/>
  <c r="C19" i="13" s="1"/>
  <c r="C20" i="13" s="1"/>
  <c r="F44" i="2"/>
  <c r="F22" i="2"/>
  <c r="F40" i="2"/>
  <c r="F21" i="2"/>
  <c r="F33" i="2"/>
  <c r="F46" i="2"/>
  <c r="F37" i="2"/>
  <c r="F32" i="2"/>
  <c r="F34" i="2"/>
  <c r="F49" i="2"/>
</calcChain>
</file>

<file path=xl/comments1.xml><?xml version="1.0" encoding="utf-8"?>
<comments xmlns="http://schemas.openxmlformats.org/spreadsheetml/2006/main">
  <authors>
    <author>Clauber Bridi</author>
  </authors>
  <commentList>
    <comment ref="B70" authorId="0" shapeId="0">
      <text>
        <r>
          <rPr>
            <b/>
            <sz val="9"/>
            <color indexed="81"/>
            <rFont val="Tahoma"/>
            <family val="2"/>
          </rPr>
          <t>Informar o fator de utilização das equipes. 
Por exemplo:
Equipes com utilização integral = 100%
Equipes com utilização parcial = n° horas trabalhadas por semana /44 horas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76" authorId="0" shapeId="0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C77" authorId="0" shapeId="0">
      <text>
        <r>
          <rPr>
            <sz val="9"/>
            <color indexed="81"/>
            <rFont val="Tahoma"/>
            <family val="2"/>
          </rPr>
          <t>Informar o número de horas extras trabalhadas nos domingos e feriados em horário diurno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78" authorId="0" shape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A79" authorId="0" shape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82" authorId="0" shape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84" authorId="0" shapeId="0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C90" authorId="0" shapeId="0">
      <text>
        <r>
          <rPr>
            <sz val="9"/>
            <color indexed="81"/>
            <rFont val="Tahoma"/>
            <family val="2"/>
          </rPr>
          <t>Informar o número de horas noturnas trabalhadas no intervalo das 22:00h as 5:00h</t>
        </r>
      </text>
    </comment>
    <comment ref="C92" authorId="0" shapeId="0">
      <text>
        <r>
          <rPr>
            <sz val="9"/>
            <color indexed="81"/>
            <rFont val="Tahoma"/>
            <family val="2"/>
          </rPr>
          <t>Informar o número de horas extras trabalhadas em horário diurno nos domingos e feriados</t>
        </r>
      </text>
    </comment>
    <comment ref="C93" authorId="0" shape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noturno (das 22:00h as 5h) nos domingos e feriados
</t>
        </r>
      </text>
    </comment>
    <comment ref="C95" authorId="0" shapeId="0">
      <text>
        <r>
          <rPr>
            <sz val="9"/>
            <color indexed="81"/>
            <rFont val="Tahoma"/>
            <family val="2"/>
          </rPr>
          <t>Informar o número de horas extras trabalhadas em horário noturno de segunda à sábado</t>
        </r>
      </text>
    </comment>
    <comment ref="C96" authorId="0" shapeId="0">
      <text>
        <r>
          <rPr>
            <sz val="9"/>
            <color indexed="81"/>
            <rFont val="Tahoma"/>
            <family val="2"/>
          </rPr>
          <t>Informar o número de horas extras trabalhadas em horário noturno (das 22:00h as 5h) de segunda a sábado</t>
        </r>
      </text>
    </comment>
    <comment ref="A98" authorId="0" shape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Considerados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01" authorId="0" shape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103" authorId="0" shapeId="0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108" authorId="0" shapeId="0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D109" authorId="0" shapeId="0">
      <text>
        <r>
          <rPr>
            <sz val="9"/>
            <color indexed="81"/>
            <rFont val="Tahoma"/>
            <family val="2"/>
          </rPr>
          <t>Informar o valor do salário Mínimo Nacional</t>
        </r>
      </text>
    </comment>
    <comment ref="C110" authorId="0" shapeId="0">
      <text>
        <r>
          <rPr>
            <sz val="9"/>
            <color indexed="81"/>
            <rFont val="Tahoma"/>
            <family val="2"/>
          </rPr>
          <t>Informar o número de horas extras trabalhadas em horário diurno nos domingos e feriados</t>
        </r>
      </text>
    </comment>
    <comment ref="C111" authorId="0" shape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A112" authorId="0" shape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13" authorId="0" shapeId="0">
      <text>
        <r>
          <rPr>
            <sz val="9"/>
            <color indexed="81"/>
            <rFont val="Tahoma"/>
            <family val="2"/>
          </rPr>
          <t xml:space="preserve">Informar 1 se a base de cálculo for o Salário Mínimo Nacional; Informar 2 se a base de cálculo for o Piso da Categoria; 
</t>
        </r>
      </text>
    </comment>
    <comment ref="C116" authorId="0" shape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118" authorId="0" shapeId="0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C125" authorId="0" shapeId="0">
      <text>
        <r>
          <rPr>
            <sz val="9"/>
            <color indexed="81"/>
            <rFont val="Tahoma"/>
            <family val="2"/>
          </rPr>
          <t>Informar o número de horas noturnas trabalhadas no intervalo das 22:00h as 5:00h</t>
        </r>
      </text>
    </comment>
    <comment ref="C127" authorId="0" shapeId="0">
      <text>
        <r>
          <rPr>
            <sz val="9"/>
            <color indexed="81"/>
            <rFont val="Tahoma"/>
            <family val="2"/>
          </rPr>
          <t>Informar o número de horas extras trabalhadas em horário noturno nos domingos e feriados</t>
        </r>
      </text>
    </comment>
    <comment ref="C128" authorId="0" shape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noturno (das 22:00h as 5h) nos domingos e feriados
</t>
        </r>
      </text>
    </comment>
    <comment ref="C130" authorId="0" shapeId="0">
      <text>
        <r>
          <rPr>
            <sz val="9"/>
            <color indexed="81"/>
            <rFont val="Tahoma"/>
            <family val="2"/>
          </rPr>
          <t>Informar o número de horas extras trabalhadas em horário noturno de segunda à sábado</t>
        </r>
      </text>
    </comment>
    <comment ref="C131" authorId="0" shapeId="0">
      <text>
        <r>
          <rPr>
            <sz val="9"/>
            <color indexed="81"/>
            <rFont val="Tahoma"/>
            <family val="2"/>
          </rPr>
          <t>Informar o número de horas extras trabalhadas em horário noturno (das 22:00h as 5h) de segunda a sábado</t>
        </r>
      </text>
    </comment>
    <comment ref="A133" authorId="0" shape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Considerados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34" authorId="0" shapeId="0">
      <text>
        <r>
          <rPr>
            <sz val="9"/>
            <color indexed="81"/>
            <rFont val="Tahoma"/>
            <family val="2"/>
          </rPr>
          <t xml:space="preserve">Informar 1 se a base de cálculo for o Salário Mínimo Nacional; Informar 2 se a base de cálculo for o Piso da Categoria; 
</t>
        </r>
      </text>
    </comment>
    <comment ref="C137" authorId="0" shape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139" authorId="0" shapeId="0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144" authorId="0" shapeId="0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C145" authorId="0" shapeId="0">
      <text>
        <r>
          <rPr>
            <sz val="9"/>
            <color indexed="81"/>
            <rFont val="Tahoma"/>
            <family val="2"/>
          </rPr>
          <t>Informar o número de horas extras trabalhadas nos domingos e feriados em horário diurno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46" authorId="0" shape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A147" authorId="0" shape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50" authorId="0" shape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152" authorId="0" shapeId="0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158" authorId="0" shapeId="0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C159" authorId="0" shapeId="0">
      <text>
        <r>
          <rPr>
            <sz val="9"/>
            <color indexed="81"/>
            <rFont val="Tahoma"/>
            <family val="2"/>
          </rPr>
          <t>Informar o número de horas extras trabalhadas nos domingos e feriados em horário diurno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60" authorId="0" shape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A161" authorId="0" shape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64" authorId="0" shape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166" authorId="0" shapeId="0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171" authorId="0" shapeId="0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C172" authorId="0" shapeId="0">
      <text>
        <r>
          <rPr>
            <sz val="9"/>
            <color indexed="81"/>
            <rFont val="Tahoma"/>
            <family val="2"/>
          </rPr>
          <t>Informar o número de horas extras trabalhadas nos domingos e feriados em horário diurno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73" authorId="0" shape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A174" authorId="0" shape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77" authorId="0" shape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179" authorId="0" shapeId="0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184" authorId="0" shapeId="0">
      <text>
        <r>
          <rPr>
            <sz val="9"/>
            <color indexed="81"/>
            <rFont val="Tahoma"/>
            <family val="2"/>
          </rPr>
          <t>Informar o Piso da categoria fixado na Convenção Coletiva</t>
        </r>
      </text>
    </comment>
    <comment ref="C185" authorId="0" shapeId="0">
      <text>
        <r>
          <rPr>
            <sz val="9"/>
            <color indexed="81"/>
            <rFont val="Tahoma"/>
            <family val="2"/>
          </rPr>
          <t>Informar o número de horas extras trabalhadas nos domingos e feriados em horário diurno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86" authorId="0" shapeId="0">
      <text>
        <r>
          <rPr>
            <sz val="9"/>
            <color indexed="81"/>
            <rFont val="Tahoma"/>
            <family val="2"/>
          </rPr>
          <t xml:space="preserve">Informar o número de horas extras trabalhadas em horário diurno de segunda a sábado 
</t>
        </r>
      </text>
    </comment>
    <comment ref="A187" authorId="0" shapeId="0">
      <text>
        <r>
          <rPr>
            <sz val="9"/>
            <color indexed="81"/>
            <rFont val="Tahoma"/>
            <family val="2"/>
          </rPr>
          <t>Cálculo do descanso semanal remunerado incidente sobre as horas extras habitualmente prestadas. Considerada a média de 63 feriados + domingos e 302 dias trabalhados por ano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90" authorId="0" shapeId="0">
      <text>
        <r>
          <rPr>
            <sz val="9"/>
            <color indexed="81"/>
            <rFont val="Tahoma"/>
            <family val="2"/>
          </rPr>
          <t xml:space="preserve">Preencher a planilha Encargos Sociais e CAGED </t>
        </r>
      </text>
    </comment>
    <comment ref="C192" authorId="0" shapeId="0">
      <text>
        <r>
          <rPr>
            <sz val="9"/>
            <color indexed="81"/>
            <rFont val="Tahoma"/>
            <family val="2"/>
          </rPr>
          <t>Informar a quantidade de trabalhadores na função</t>
        </r>
      </text>
    </comment>
    <comment ref="D196" authorId="0" shapeId="0">
      <text>
        <r>
          <rPr>
            <sz val="9"/>
            <color indexed="81"/>
            <rFont val="Tahoma"/>
            <family val="2"/>
          </rPr>
          <t>Informar o valor unitário do VT no município</t>
        </r>
      </text>
    </comment>
    <comment ref="C197" authorId="0" shapeId="0">
      <text>
        <r>
          <rPr>
            <sz val="9"/>
            <color indexed="81"/>
            <rFont val="Tahoma"/>
            <family val="2"/>
          </rPr>
          <t>Informar o número médio de dias trabalhados por mês</t>
        </r>
      </text>
    </comment>
    <comment ref="D198" authorId="0" shapeId="0">
      <text>
        <r>
          <rPr>
            <sz val="9"/>
            <color indexed="81"/>
            <rFont val="Tahoma"/>
            <family val="2"/>
          </rPr>
          <t>Valor Unitário considerando o desconto legal de até 6% do salário</t>
        </r>
      </text>
    </comment>
    <comment ref="D202" authorId="0" shapeId="0">
      <text>
        <r>
          <rPr>
            <sz val="9"/>
            <color indexed="81"/>
            <rFont val="Tahoma"/>
            <family val="2"/>
          </rPr>
          <t>Informar o valor unitário diário do vale refeição, considerando o desconto aplicável ao funcionário, conforme Convenção Coletiva da categoria.</t>
        </r>
      </text>
    </comment>
    <comment ref="C214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214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215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215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216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216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217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217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218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218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219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219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220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220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221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221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222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222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C223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223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EPI</t>
        </r>
      </text>
    </comment>
    <comment ref="D224" authorId="0" shapeId="0">
      <text>
        <r>
          <rPr>
            <sz val="9"/>
            <color indexed="81"/>
            <rFont val="Tahoma"/>
            <family val="2"/>
          </rPr>
          <t>Informar o valor mensal de higienização de uniforme para 1 funcionário</t>
        </r>
      </text>
    </comment>
    <comment ref="C232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233" authorId="0" shapeId="0">
      <text>
        <r>
          <rPr>
            <sz val="9"/>
            <color indexed="81"/>
            <rFont val="Tahoma"/>
            <family val="2"/>
          </rPr>
          <t>Informar o valor mensal de higienização de uniforme para 1 funcionário</t>
        </r>
      </text>
    </comment>
    <comment ref="C240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241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242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243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244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C245" authorId="0" shapeId="0">
      <text>
        <r>
          <rPr>
            <sz val="9"/>
            <color indexed="81"/>
            <rFont val="Tahoma"/>
            <family val="2"/>
          </rPr>
          <t xml:space="preserve">Informar a durabilidade estimada em meses, para cada EPI
</t>
        </r>
      </text>
    </comment>
    <comment ref="D246" authorId="0" shapeId="0">
      <text>
        <r>
          <rPr>
            <sz val="9"/>
            <color indexed="81"/>
            <rFont val="Tahoma"/>
            <family val="2"/>
          </rPr>
          <t>Informar o valor mensal de higienização de uniforme para 1 funcionário</t>
        </r>
      </text>
    </comment>
    <comment ref="D258" authorId="0" shapeId="0">
      <text>
        <r>
          <rPr>
            <sz val="9"/>
            <color indexed="81"/>
            <rFont val="Tahoma"/>
            <family val="2"/>
          </rPr>
          <t xml:space="preserve">Informar o preço unitário do chassis do caminhão 
</t>
        </r>
      </text>
    </comment>
    <comment ref="C259" authorId="0" shapeId="0">
      <text>
        <r>
          <rPr>
            <sz val="9"/>
            <color indexed="81"/>
            <rFont val="Tahoma"/>
            <family val="2"/>
          </rPr>
          <t>Informar a vida útil estimada para o caminhão, em anos</t>
        </r>
      </text>
    </comment>
    <comment ref="C260" authorId="0" shapeId="0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veículo proposto.</t>
        </r>
      </text>
    </comment>
    <comment ref="C261" authorId="0" shapeId="0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63" authorId="0" shapeId="0">
      <text>
        <r>
          <rPr>
            <sz val="9"/>
            <color indexed="81"/>
            <rFont val="Tahoma"/>
            <family val="2"/>
          </rPr>
          <t xml:space="preserve">Informar o preço unitário do equipamento
</t>
        </r>
      </text>
    </comment>
    <comment ref="C264" authorId="0" shapeId="0">
      <text>
        <r>
          <rPr>
            <sz val="9"/>
            <color indexed="81"/>
            <rFont val="Tahoma"/>
            <family val="2"/>
          </rPr>
          <t xml:space="preserve">Informar a vida útil estimada para o cesto
</t>
        </r>
      </text>
    </comment>
    <comment ref="C265" authorId="0" shapeId="0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compactador proposto.</t>
        </r>
      </text>
    </comment>
    <comment ref="C266" authorId="0" shapeId="0">
      <text>
        <r>
          <rPr>
            <b/>
            <sz val="9"/>
            <color indexed="81"/>
            <rFont val="Tahoma"/>
            <family val="2"/>
          </rPr>
          <t xml:space="preserve">Informar o valor da depreciação do compactador,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269" authorId="0" shapeId="0">
      <text>
        <r>
          <rPr>
            <sz val="9"/>
            <color indexed="81"/>
            <rFont val="Tahoma"/>
            <family val="2"/>
          </rPr>
          <t>Informar a quantidade de caminhões do
 respectivo modelo</t>
        </r>
      </text>
    </comment>
    <comment ref="C275" authorId="0" shapeId="0">
      <text>
        <r>
          <rPr>
            <b/>
            <sz val="9"/>
            <color indexed="81"/>
            <rFont val="Tahoma"/>
            <family val="2"/>
          </rPr>
          <t>Informar a taxa de juros anual para remuneração do capital. Recomenda-se o uso da Taxa SELIC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91" authorId="0" shapeId="0">
      <text>
        <r>
          <rPr>
            <sz val="9"/>
            <color indexed="81"/>
            <rFont val="Tahoma"/>
            <family val="2"/>
          </rPr>
          <t xml:space="preserve">Informar o valor do seguro obrigatório e licenciamento anual de um caminhão
</t>
        </r>
      </text>
    </comment>
    <comment ref="D292" authorId="0" shapeId="0">
      <text>
        <r>
          <rPr>
            <sz val="9"/>
            <color indexed="81"/>
            <rFont val="Tahoma"/>
            <family val="2"/>
          </rPr>
          <t xml:space="preserve">Informar o valor do seguro contra terceiros de um caminhão, se houver previsão no Projeto Básico
</t>
        </r>
      </text>
    </comment>
    <comment ref="B297" authorId="0" shapeId="0">
      <text>
        <r>
          <rPr>
            <sz val="9"/>
            <color indexed="81"/>
            <rFont val="Tahoma"/>
            <family val="2"/>
          </rPr>
          <t xml:space="preserve">Informar a quilometragem mensal percorrida, de acordo com o projeto básico
</t>
        </r>
      </text>
    </comment>
    <comment ref="C300" authorId="0" shapeId="0">
      <text>
        <r>
          <rPr>
            <sz val="9"/>
            <color indexed="81"/>
            <rFont val="Tahoma"/>
            <family val="2"/>
          </rPr>
          <t>Informar o consumo estimado do veículo em km/l</t>
        </r>
      </text>
    </comment>
    <comment ref="D300" authorId="0" shapeId="0">
      <text>
        <r>
          <rPr>
            <sz val="9"/>
            <color indexed="81"/>
            <rFont val="Tahoma"/>
            <family val="2"/>
          </rPr>
          <t xml:space="preserve">Informar o preço unitário do combustivel
</t>
        </r>
      </text>
    </comment>
    <comment ref="C302" authorId="0" shapeId="0">
      <text>
        <r>
          <rPr>
            <sz val="9"/>
            <color indexed="81"/>
            <rFont val="Tahoma"/>
            <family val="2"/>
          </rPr>
          <t>Informar o consumo de óleo do motor a cada 1000km</t>
        </r>
      </text>
    </comment>
    <comment ref="D302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do óleo do motor
</t>
        </r>
      </text>
    </comment>
    <comment ref="C304" authorId="0" shapeId="0">
      <text>
        <r>
          <rPr>
            <sz val="9"/>
            <color indexed="81"/>
            <rFont val="Tahoma"/>
            <family val="2"/>
          </rPr>
          <t>Informar o consumo de óleo da transmissão a cada 1000km</t>
        </r>
      </text>
    </comment>
    <comment ref="D304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do óleo da transmissão
</t>
        </r>
      </text>
    </comment>
    <comment ref="C306" authorId="0" shapeId="0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306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308" authorId="0" shapeId="0">
      <text>
        <r>
          <rPr>
            <sz val="9"/>
            <color indexed="81"/>
            <rFont val="Tahoma"/>
            <family val="2"/>
          </rPr>
          <t>Informar o consumo de graxa a cada 1000km</t>
        </r>
      </text>
    </comment>
    <comment ref="D308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da graxa
</t>
        </r>
      </text>
    </comment>
    <comment ref="D315" authorId="0" shapeId="0">
      <text>
        <r>
          <rPr>
            <sz val="9"/>
            <color indexed="81"/>
            <rFont val="Tahoma"/>
            <family val="2"/>
          </rPr>
          <t xml:space="preserve">Informar o custo de manutenção em R$/km rodado
</t>
        </r>
      </text>
    </comment>
    <comment ref="C320" authorId="0" shapeId="0">
      <text>
        <r>
          <rPr>
            <sz val="9"/>
            <color indexed="81"/>
            <rFont val="Tahoma"/>
            <family val="2"/>
          </rPr>
          <t>Informar a quantidade de pneus novos de 1 caminhão</t>
        </r>
      </text>
    </comment>
    <comment ref="D320" authorId="0" shapeId="0">
      <text>
        <r>
          <rPr>
            <sz val="9"/>
            <color indexed="81"/>
            <rFont val="Tahoma"/>
            <family val="2"/>
          </rPr>
          <t xml:space="preserve">Informar o preço unitário de cada pneu
</t>
        </r>
      </text>
    </comment>
    <comment ref="C321" authorId="0" shapeId="0">
      <text>
        <r>
          <rPr>
            <sz val="9"/>
            <color indexed="81"/>
            <rFont val="Tahoma"/>
            <family val="2"/>
          </rPr>
          <t>Informar o número de recapagens por pneu</t>
        </r>
      </text>
    </comment>
    <comment ref="D322" authorId="0" shapeId="0">
      <text>
        <r>
          <rPr>
            <sz val="9"/>
            <color indexed="81"/>
            <rFont val="Tahoma"/>
            <family val="2"/>
          </rPr>
          <t xml:space="preserve">Informar o preço unitário de cada recapagem
</t>
        </r>
      </text>
    </comment>
    <comment ref="C323" authorId="0" shapeId="0">
      <text>
        <r>
          <rPr>
            <sz val="9"/>
            <color indexed="81"/>
            <rFont val="Tahoma"/>
            <family val="2"/>
          </rPr>
          <t xml:space="preserve">Informar a durabilidade média dos pneus considerando todas as recapagens, em km
</t>
        </r>
      </text>
    </comment>
    <comment ref="D331" authorId="0" shapeId="0">
      <text>
        <r>
          <rPr>
            <sz val="9"/>
            <color indexed="81"/>
            <rFont val="Tahoma"/>
            <family val="2"/>
          </rPr>
          <t xml:space="preserve">Informar o preço unitário do chassis do caminhão </t>
        </r>
      </text>
    </comment>
    <comment ref="C332" authorId="0" shapeId="0">
      <text>
        <r>
          <rPr>
            <sz val="9"/>
            <color indexed="81"/>
            <rFont val="Tahoma"/>
            <family val="2"/>
          </rPr>
          <t>Informar a vida útil estimada para o caminhão, em anos</t>
        </r>
      </text>
    </comment>
    <comment ref="C333" authorId="0" shapeId="0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veículo proposto.</t>
        </r>
      </text>
    </comment>
    <comment ref="C334" authorId="0" shapeId="0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36" authorId="0" shapeId="0">
      <text>
        <r>
          <rPr>
            <sz val="9"/>
            <color indexed="81"/>
            <rFont val="Tahoma"/>
            <family val="2"/>
          </rPr>
          <t xml:space="preserve">Informar o preço unitário do equipamento compactador
</t>
        </r>
      </text>
    </comment>
    <comment ref="C337" authorId="0" shapeId="0">
      <text>
        <r>
          <rPr>
            <sz val="9"/>
            <color indexed="81"/>
            <rFont val="Tahoma"/>
            <family val="2"/>
          </rPr>
          <t>Informar a vida útil estimada para o guindauto, em anos</t>
        </r>
      </text>
    </comment>
    <comment ref="C338" authorId="0" shapeId="0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compactador proposto.</t>
        </r>
      </text>
    </comment>
    <comment ref="C339" authorId="0" shapeId="0">
      <text>
        <r>
          <rPr>
            <b/>
            <sz val="9"/>
            <color indexed="81"/>
            <rFont val="Tahoma"/>
            <family val="2"/>
          </rPr>
          <t xml:space="preserve">Informar o valor da depreciação do compactador,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342" authorId="0" shapeId="0">
      <text>
        <r>
          <rPr>
            <sz val="9"/>
            <color indexed="81"/>
            <rFont val="Tahoma"/>
            <family val="2"/>
          </rPr>
          <t>Informar a quantidade de veiculos</t>
        </r>
      </text>
    </comment>
    <comment ref="C348" authorId="0" shapeId="0">
      <text>
        <r>
          <rPr>
            <b/>
            <sz val="9"/>
            <color indexed="81"/>
            <rFont val="Tahoma"/>
            <family val="2"/>
          </rPr>
          <t>Informar a taxa de juros anual para remuneração do capital. Recomenda-se o uso da Taxa SELIC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364" authorId="0" shapeId="0">
      <text>
        <r>
          <rPr>
            <sz val="9"/>
            <color indexed="81"/>
            <rFont val="Tahoma"/>
            <family val="2"/>
          </rPr>
          <t xml:space="preserve">Informar o valor do seguro obrigatório e licenciamento anual de um caminhão
</t>
        </r>
      </text>
    </comment>
    <comment ref="D365" authorId="0" shapeId="0">
      <text>
        <r>
          <rPr>
            <sz val="9"/>
            <color indexed="81"/>
            <rFont val="Tahoma"/>
            <family val="2"/>
          </rPr>
          <t xml:space="preserve">Informar o valor do seguro contra terceiros de um caminhão, se houver previsão no Projeto Básico
</t>
        </r>
      </text>
    </comment>
    <comment ref="B370" authorId="0" shapeId="0">
      <text>
        <r>
          <rPr>
            <sz val="9"/>
            <color indexed="81"/>
            <rFont val="Tahoma"/>
            <family val="2"/>
          </rPr>
          <t xml:space="preserve">Informar a quilometragem mensal percorrida, de acordo com o projeto básico
</t>
        </r>
      </text>
    </comment>
    <comment ref="C373" authorId="0" shapeId="0">
      <text>
        <r>
          <rPr>
            <sz val="9"/>
            <color indexed="81"/>
            <rFont val="Tahoma"/>
            <family val="2"/>
          </rPr>
          <t>Informar o consumo estimado do veículo em km/l</t>
        </r>
      </text>
    </comment>
    <comment ref="D373" authorId="0" shapeId="0">
      <text>
        <r>
          <rPr>
            <sz val="9"/>
            <color indexed="81"/>
            <rFont val="Tahoma"/>
            <family val="2"/>
          </rPr>
          <t xml:space="preserve">Informar o preço unitário do combustivel
</t>
        </r>
      </text>
    </comment>
    <comment ref="C375" authorId="0" shapeId="0">
      <text>
        <r>
          <rPr>
            <sz val="9"/>
            <color indexed="81"/>
            <rFont val="Tahoma"/>
            <family val="2"/>
          </rPr>
          <t>Informar o consumo de óleo do motor a cada 1000km</t>
        </r>
      </text>
    </comment>
    <comment ref="D375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do óleo do motor
</t>
        </r>
      </text>
    </comment>
    <comment ref="C377" authorId="0" shapeId="0">
      <text>
        <r>
          <rPr>
            <sz val="9"/>
            <color indexed="81"/>
            <rFont val="Tahoma"/>
            <family val="2"/>
          </rPr>
          <t>Informar o consumo de óleo da transmissão a cada 1000km</t>
        </r>
      </text>
    </comment>
    <comment ref="D377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do óleo da transmissão
</t>
        </r>
      </text>
    </comment>
    <comment ref="C379" authorId="0" shapeId="0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379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381" authorId="0" shapeId="0">
      <text>
        <r>
          <rPr>
            <sz val="9"/>
            <color indexed="81"/>
            <rFont val="Tahoma"/>
            <family val="2"/>
          </rPr>
          <t>Informar o consumo de graxa a cada 1000km</t>
        </r>
      </text>
    </comment>
    <comment ref="D381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da graxa
</t>
        </r>
      </text>
    </comment>
    <comment ref="D388" authorId="0" shapeId="0">
      <text>
        <r>
          <rPr>
            <sz val="9"/>
            <color indexed="81"/>
            <rFont val="Tahoma"/>
            <family val="2"/>
          </rPr>
          <t xml:space="preserve">Informar o custo de manutenção em R$/km rodado
</t>
        </r>
      </text>
    </comment>
    <comment ref="C393" authorId="0" shapeId="0">
      <text>
        <r>
          <rPr>
            <sz val="9"/>
            <color indexed="81"/>
            <rFont val="Tahoma"/>
            <family val="2"/>
          </rPr>
          <t>Informar a quantidade de pneus novos de 1 caminhão</t>
        </r>
      </text>
    </comment>
    <comment ref="D393" authorId="0" shapeId="0">
      <text>
        <r>
          <rPr>
            <sz val="9"/>
            <color indexed="81"/>
            <rFont val="Tahoma"/>
            <family val="2"/>
          </rPr>
          <t xml:space="preserve">Informar o preço unitário de cada pneu
</t>
        </r>
      </text>
    </comment>
    <comment ref="C394" authorId="0" shapeId="0">
      <text>
        <r>
          <rPr>
            <sz val="9"/>
            <color indexed="81"/>
            <rFont val="Tahoma"/>
            <family val="2"/>
          </rPr>
          <t>Informar o número de recapagens por pneu</t>
        </r>
      </text>
    </comment>
    <comment ref="D395" authorId="0" shapeId="0">
      <text>
        <r>
          <rPr>
            <sz val="9"/>
            <color indexed="81"/>
            <rFont val="Tahoma"/>
            <family val="2"/>
          </rPr>
          <t xml:space="preserve">Informar o preço unitário de cada recapagem
</t>
        </r>
      </text>
    </comment>
    <comment ref="C396" authorId="0" shapeId="0">
      <text>
        <r>
          <rPr>
            <sz val="9"/>
            <color indexed="81"/>
            <rFont val="Tahoma"/>
            <family val="2"/>
          </rPr>
          <t xml:space="preserve">Informar a durabilidade média dos pneus considerando todas as recapagens, em km
</t>
        </r>
      </text>
    </comment>
    <comment ref="D404" authorId="0" shapeId="0">
      <text>
        <r>
          <rPr>
            <sz val="9"/>
            <color indexed="81"/>
            <rFont val="Tahoma"/>
            <family val="2"/>
          </rPr>
          <t xml:space="preserve">Informar o preço unitário do chassis 
</t>
        </r>
      </text>
    </comment>
    <comment ref="C405" authorId="0" shapeId="0">
      <text>
        <r>
          <rPr>
            <sz val="9"/>
            <color indexed="81"/>
            <rFont val="Tahoma"/>
            <family val="2"/>
          </rPr>
          <t xml:space="preserve">Informar a vida útil estimada para o veículo
</t>
        </r>
      </text>
    </comment>
    <comment ref="C406" authorId="0" shapeId="0">
      <text>
        <r>
          <rPr>
            <sz val="9"/>
            <color indexed="81"/>
            <rFont val="Tahoma"/>
            <family val="2"/>
          </rPr>
          <t>Na elaboração do orçamento-base da licitação, informar 0 (zero). Na proposta da licitante, informar a idade do veículo proposto.</t>
        </r>
      </text>
    </comment>
    <comment ref="C407" authorId="0" shapeId="0">
      <text>
        <r>
          <rPr>
            <b/>
            <sz val="9"/>
            <color indexed="81"/>
            <rFont val="Tahoma"/>
            <family val="2"/>
          </rPr>
          <t xml:space="preserve">Informar o valor da depreciação do caminhão, adotando o valor sugerido pelo TCE ou outro valor estimado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410" authorId="0" shapeId="0">
      <text>
        <r>
          <rPr>
            <sz val="9"/>
            <color indexed="81"/>
            <rFont val="Tahoma"/>
            <family val="2"/>
          </rPr>
          <t xml:space="preserve">Informar a quantidade de veículos
</t>
        </r>
      </text>
    </comment>
    <comment ref="C416" authorId="0" shapeId="0">
      <text>
        <r>
          <rPr>
            <b/>
            <sz val="9"/>
            <color indexed="81"/>
            <rFont val="Tahoma"/>
            <family val="2"/>
          </rPr>
          <t>Informar a taxa de juros anual para remuneração do capital. Recomenda-se o uso da Taxa SELIC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427" authorId="0" shapeId="0">
      <text>
        <r>
          <rPr>
            <sz val="9"/>
            <color indexed="81"/>
            <rFont val="Tahoma"/>
            <family val="2"/>
          </rPr>
          <t xml:space="preserve">Informar o valor do seguro obrigatório e licenciamento anual de um caminhão
</t>
        </r>
      </text>
    </comment>
    <comment ref="D428" authorId="0" shapeId="0">
      <text>
        <r>
          <rPr>
            <sz val="9"/>
            <color indexed="81"/>
            <rFont val="Tahoma"/>
            <family val="2"/>
          </rPr>
          <t xml:space="preserve">Informar o valor do seguro contra terceiros de um caminhão, se houver previsão no Projeto Básico
</t>
        </r>
      </text>
    </comment>
    <comment ref="B433" authorId="0" shapeId="0">
      <text>
        <r>
          <rPr>
            <sz val="9"/>
            <color indexed="81"/>
            <rFont val="Tahoma"/>
            <family val="2"/>
          </rPr>
          <t xml:space="preserve">Informar a quilometragem mensal percorrida, de acordo com o projeto básico
</t>
        </r>
      </text>
    </comment>
    <comment ref="C436" authorId="0" shapeId="0">
      <text>
        <r>
          <rPr>
            <sz val="9"/>
            <color indexed="81"/>
            <rFont val="Tahoma"/>
            <family val="2"/>
          </rPr>
          <t>Informar o consumo estimado do veículo em km/l</t>
        </r>
      </text>
    </comment>
    <comment ref="D436" authorId="0" shapeId="0">
      <text>
        <r>
          <rPr>
            <sz val="9"/>
            <color indexed="81"/>
            <rFont val="Tahoma"/>
            <family val="2"/>
          </rPr>
          <t xml:space="preserve">Informar o preço unitário do combustivel
</t>
        </r>
      </text>
    </comment>
    <comment ref="C438" authorId="0" shapeId="0">
      <text>
        <r>
          <rPr>
            <sz val="9"/>
            <color indexed="81"/>
            <rFont val="Tahoma"/>
            <family val="2"/>
          </rPr>
          <t>Informar o consumo de óleo do motor a cada 1000km</t>
        </r>
      </text>
    </comment>
    <comment ref="D438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do óleo do motor
</t>
        </r>
      </text>
    </comment>
    <comment ref="C440" authorId="0" shapeId="0">
      <text>
        <r>
          <rPr>
            <sz val="9"/>
            <color indexed="81"/>
            <rFont val="Tahoma"/>
            <family val="2"/>
          </rPr>
          <t>Informar o consumo de óleo da transmissão a cada 1000km</t>
        </r>
      </text>
    </comment>
    <comment ref="D440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do óleo da transmissão
</t>
        </r>
      </text>
    </comment>
    <comment ref="C442" authorId="0" shapeId="0">
      <text>
        <r>
          <rPr>
            <sz val="9"/>
            <color indexed="81"/>
            <rFont val="Tahoma"/>
            <family val="2"/>
          </rPr>
          <t>Informar o consumo de óleo hidráulico a cada 1000km</t>
        </r>
      </text>
    </comment>
    <comment ref="D442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do óleo hidráulico
</t>
        </r>
      </text>
    </comment>
    <comment ref="C444" authorId="0" shapeId="0">
      <text>
        <r>
          <rPr>
            <sz val="9"/>
            <color indexed="81"/>
            <rFont val="Tahoma"/>
            <family val="2"/>
          </rPr>
          <t>Informar o consumo de graxa a cada 1000km</t>
        </r>
      </text>
    </comment>
    <comment ref="D444" authorId="0" shapeId="0">
      <text>
        <r>
          <rPr>
            <sz val="9"/>
            <color indexed="81"/>
            <rFont val="Tahoma"/>
            <family val="2"/>
          </rPr>
          <t xml:space="preserve">Informar o preço unitário do litro da graxa
</t>
        </r>
      </text>
    </comment>
    <comment ref="D451" authorId="0" shapeId="0">
      <text>
        <r>
          <rPr>
            <sz val="9"/>
            <color indexed="81"/>
            <rFont val="Tahoma"/>
            <family val="2"/>
          </rPr>
          <t xml:space="preserve">Informar o custo de manutenção em R$/km rodado
</t>
        </r>
      </text>
    </comment>
    <comment ref="C456" authorId="0" shapeId="0">
      <text>
        <r>
          <rPr>
            <sz val="9"/>
            <color indexed="81"/>
            <rFont val="Tahoma"/>
            <family val="2"/>
          </rPr>
          <t>Informar a quantidade de pneus novos de 1 caminhão</t>
        </r>
      </text>
    </comment>
    <comment ref="D456" authorId="0" shapeId="0">
      <text>
        <r>
          <rPr>
            <sz val="9"/>
            <color indexed="81"/>
            <rFont val="Tahoma"/>
            <family val="2"/>
          </rPr>
          <t xml:space="preserve">Informar o preço unitário de cada pneu
</t>
        </r>
      </text>
    </comment>
    <comment ref="C457" authorId="0" shapeId="0">
      <text>
        <r>
          <rPr>
            <sz val="9"/>
            <color indexed="81"/>
            <rFont val="Tahoma"/>
            <family val="2"/>
          </rPr>
          <t>Informar o número de recapagens por pneu</t>
        </r>
      </text>
    </comment>
    <comment ref="D458" authorId="0" shapeId="0">
      <text>
        <r>
          <rPr>
            <sz val="9"/>
            <color indexed="81"/>
            <rFont val="Tahoma"/>
            <family val="2"/>
          </rPr>
          <t xml:space="preserve">Informar o preço unitário de cada recapagem
</t>
        </r>
      </text>
    </comment>
    <comment ref="C459" authorId="0" shapeId="0">
      <text>
        <r>
          <rPr>
            <sz val="9"/>
            <color indexed="81"/>
            <rFont val="Tahoma"/>
            <family val="2"/>
          </rPr>
          <t xml:space="preserve">Informar a durabilidade média dos pneus considerando todas as recapagens, em km
</t>
        </r>
      </text>
    </comment>
    <comment ref="C468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468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469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469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470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470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471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471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472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472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473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473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474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474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475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475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476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476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477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477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478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478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479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479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480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480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481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481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483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483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484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484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485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485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486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486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487" authorId="0" shapeId="0">
      <text>
        <r>
          <rPr>
            <sz val="9"/>
            <color indexed="81"/>
            <rFont val="Tahoma"/>
            <family val="2"/>
          </rPr>
          <t xml:space="preserve">Informar a quantidade estimada por mês. Por exemplo, se a durabilidade estimada é de 6 meses, informar 1/6; se a durabilidade estimada é de 3 meses informar 1/3, etc..
</t>
        </r>
      </text>
    </comment>
    <comment ref="D487" authorId="0" shapeId="0">
      <text>
        <r>
          <rPr>
            <sz val="9"/>
            <color indexed="81"/>
            <rFont val="Tahoma"/>
            <family val="2"/>
          </rPr>
          <t>Informar o valor unitário estimado para aquisição de cada material</t>
        </r>
      </text>
    </comment>
    <comment ref="C499" authorId="0" shapeId="0">
      <text>
        <r>
          <rPr>
            <sz val="9"/>
            <color indexed="81"/>
            <rFont val="Tahoma"/>
            <family val="2"/>
          </rPr>
          <t>Preencher a aba 4.BDI</t>
        </r>
      </text>
    </comment>
  </commentList>
</comments>
</file>

<file path=xl/sharedStrings.xml><?xml version="1.0" encoding="utf-8"?>
<sst xmlns="http://schemas.openxmlformats.org/spreadsheetml/2006/main" count="894" uniqueCount="294">
  <si>
    <t>hora</t>
  </si>
  <si>
    <t>%</t>
  </si>
  <si>
    <t>Soma</t>
  </si>
  <si>
    <t>Encargos Sociais</t>
  </si>
  <si>
    <t>Total do Efetivo</t>
  </si>
  <si>
    <t>homem</t>
  </si>
  <si>
    <t>Adicional Noturno</t>
  </si>
  <si>
    <t>mês</t>
  </si>
  <si>
    <t>vale</t>
  </si>
  <si>
    <t>unidade</t>
  </si>
  <si>
    <t>IPVA</t>
  </si>
  <si>
    <t>Seguro contra terceiros</t>
  </si>
  <si>
    <t>Impostos e seguros mensais</t>
  </si>
  <si>
    <t>Custo de óleo diesel / km rodado</t>
  </si>
  <si>
    <t>km/l</t>
  </si>
  <si>
    <t>Custo mensal com óleo diesel</t>
  </si>
  <si>
    <t>km</t>
  </si>
  <si>
    <t>l/1.000 km</t>
  </si>
  <si>
    <t>Custo mensal com óleo do motor</t>
  </si>
  <si>
    <t>Custo mensal com óleo da transmissão</t>
  </si>
  <si>
    <t>Custo mensal com óleo hidráulico</t>
  </si>
  <si>
    <t>Custo de graxa /1.000 km rodados</t>
  </si>
  <si>
    <t>kg/1.000 km</t>
  </si>
  <si>
    <t>Custo mensal com graxa</t>
  </si>
  <si>
    <t>km/jogo</t>
  </si>
  <si>
    <t>Calça</t>
  </si>
  <si>
    <t>Camiseta</t>
  </si>
  <si>
    <t>R$</t>
  </si>
  <si>
    <t>Horas Extras (100%)</t>
  </si>
  <si>
    <t>Horas Extras (50%)</t>
  </si>
  <si>
    <t>Benefícios e despesas indiretas</t>
  </si>
  <si>
    <t>Custo (R$/mês)</t>
  </si>
  <si>
    <t>Mão-de-obra</t>
  </si>
  <si>
    <t>Quantidade</t>
  </si>
  <si>
    <t>Planilha de Composição de Custos</t>
  </si>
  <si>
    <t>2. Uniformes e Equipamentos de Proteção Individual</t>
  </si>
  <si>
    <t>3.1.1. Depreciação</t>
  </si>
  <si>
    <t>1. Mão-de-obra</t>
  </si>
  <si>
    <t>par</t>
  </si>
  <si>
    <t>frasco 120g</t>
  </si>
  <si>
    <t>Depreciação mensal veículos coletores</t>
  </si>
  <si>
    <t>3.1.3. Impostos e Seguros</t>
  </si>
  <si>
    <t>3.1.4. Consumos</t>
  </si>
  <si>
    <t>3.1.5. Manutenção</t>
  </si>
  <si>
    <t>3. Veículos e Equipamentos</t>
  </si>
  <si>
    <t>Custo mensal com pneus</t>
  </si>
  <si>
    <t>Veículos e Equipamentos</t>
  </si>
  <si>
    <t>Total de mão-de-obra (postos de trabalho)</t>
  </si>
  <si>
    <t>3.1.6. Pneus</t>
  </si>
  <si>
    <t>Protetor solar FPS 30</t>
  </si>
  <si>
    <t>Discriminação</t>
  </si>
  <si>
    <t>Unidade</t>
  </si>
  <si>
    <t>Subtotal</t>
  </si>
  <si>
    <r>
      <t xml:space="preserve">Total </t>
    </r>
    <r>
      <rPr>
        <b/>
        <u/>
        <sz val="9"/>
        <rFont val="Arial"/>
        <family val="2"/>
      </rPr>
      <t>(R$)</t>
    </r>
  </si>
  <si>
    <t>Jaqueta com reflexivo (NBR 15.292)</t>
  </si>
  <si>
    <t>Capa de chuva amarela com reflexivo</t>
  </si>
  <si>
    <t>Botina de segurança c/ palmilha aço</t>
  </si>
  <si>
    <t>Custo de recapagem</t>
  </si>
  <si>
    <t>Total por Coletor</t>
  </si>
  <si>
    <t>4. Ferramentas e Materiais de Consumo</t>
  </si>
  <si>
    <t>AC</t>
  </si>
  <si>
    <t>Lucro</t>
  </si>
  <si>
    <t>L</t>
  </si>
  <si>
    <t>DF</t>
  </si>
  <si>
    <t>Vale Transporte</t>
  </si>
  <si>
    <t>Dias Trabalhados por mês</t>
  </si>
  <si>
    <t>dia</t>
  </si>
  <si>
    <t>Custo Mensal com Mão-de-obra (R$/mês)</t>
  </si>
  <si>
    <t>Custo do jogo de pneus xxx/xx Rxx</t>
  </si>
  <si>
    <r>
      <t xml:space="preserve">Custo jg. compl. + </t>
    </r>
    <r>
      <rPr>
        <sz val="10"/>
        <color indexed="10"/>
        <rFont val="Arial"/>
        <family val="2"/>
      </rPr>
      <t>X</t>
    </r>
    <r>
      <rPr>
        <sz val="10"/>
        <rFont val="Arial"/>
        <family val="2"/>
      </rPr>
      <t xml:space="preserve"> recap./ km rodado</t>
    </r>
  </si>
  <si>
    <t>Quantitativos</t>
  </si>
  <si>
    <t>horas trabalhadas</t>
  </si>
  <si>
    <t>Horas Extras Noturnas (100%)</t>
  </si>
  <si>
    <t>1.4. Motorista Turno Noite</t>
  </si>
  <si>
    <t>hora contabilizada</t>
  </si>
  <si>
    <t>Vida útil do chassis</t>
  </si>
  <si>
    <t>anos</t>
  </si>
  <si>
    <t>Depreciação do chassis</t>
  </si>
  <si>
    <t>Custo de aquisição do chassis</t>
  </si>
  <si>
    <t>i = taxa de juros do mercado (sugere-se adotar a taxa SELIC)</t>
  </si>
  <si>
    <t>n = vida útil do bem em anos</t>
  </si>
  <si>
    <t>Custo do chassis</t>
  </si>
  <si>
    <t>3.1.2. Remuneração do Capital</t>
  </si>
  <si>
    <t>Im = investimento médio</t>
  </si>
  <si>
    <t>Remuneração mensal de capital do compactador</t>
  </si>
  <si>
    <t>Investimento médio total do chassis</t>
  </si>
  <si>
    <t>Remuneração mensal de capital do chassis</t>
  </si>
  <si>
    <t>Custo de manutenção dos caminhões</t>
  </si>
  <si>
    <t>Quilometragem mensal</t>
  </si>
  <si>
    <t>R$/km rodado</t>
  </si>
  <si>
    <t>Número de recapagens por pneu</t>
  </si>
  <si>
    <t>R$ mensal</t>
  </si>
  <si>
    <t>Licenciamento e Seguro obrigatório</t>
  </si>
  <si>
    <t>Fator de utilização</t>
  </si>
  <si>
    <t>Fator de utilização (FU)</t>
  </si>
  <si>
    <t>Higienização de uniformes e EPIs</t>
  </si>
  <si>
    <t>2.2. Uniformes e EPIs para demais categorias</t>
  </si>
  <si>
    <t>Custo Mensal com Uniformes e EPIs (R$/mês)</t>
  </si>
  <si>
    <t>Descrição do Item</t>
  </si>
  <si>
    <t>Orçamento Sintético</t>
  </si>
  <si>
    <t>Idade do veículo (ano)</t>
  </si>
  <si>
    <t>Idade do veículo</t>
  </si>
  <si>
    <t>Valor do veículo proposto (V0)</t>
  </si>
  <si>
    <t>Valor do compactador proposto (V0)</t>
  </si>
  <si>
    <t>Taxa de juros anual nominal</t>
  </si>
  <si>
    <t>Piso da categoria</t>
  </si>
  <si>
    <t>Base de cálculo da Insalubridade</t>
  </si>
  <si>
    <t>Horas Extras Noturnas (50%)</t>
  </si>
  <si>
    <t>Descanso Semanal Remunerado (DSR) - hora extra</t>
  </si>
  <si>
    <t>Custo Mensal com Veículos e Equipamentos (R$/mês)</t>
  </si>
  <si>
    <t>Custo Mensal com Ferramentas e Materiais de Consumo (R$/mês)</t>
  </si>
  <si>
    <t>CUSTO TOTAL MENSAL COM DESPESAS OPERACIONAIS (R$/mês)</t>
  </si>
  <si>
    <t>PREÇO MENSAL TOTAL (R$/mês)</t>
  </si>
  <si>
    <t>5. Depreciação Referencial TCE/RS (%)</t>
  </si>
  <si>
    <r>
      <t>J</t>
    </r>
    <r>
      <rPr>
        <vertAlign val="subscript"/>
        <sz val="12"/>
        <color indexed="8"/>
        <rFont val="Arial"/>
        <family val="2"/>
      </rPr>
      <t>m</t>
    </r>
    <r>
      <rPr>
        <sz val="12"/>
        <color indexed="8"/>
        <rFont val="Arial"/>
        <family val="2"/>
      </rPr>
      <t xml:space="preserve"> = remuneração de capital mensal</t>
    </r>
  </si>
  <si>
    <r>
      <t>V</t>
    </r>
    <r>
      <rPr>
        <vertAlign val="subscript"/>
        <sz val="12"/>
        <color indexed="8"/>
        <rFont val="Arial"/>
        <family val="2"/>
      </rPr>
      <t>0</t>
    </r>
    <r>
      <rPr>
        <sz val="12"/>
        <color indexed="8"/>
        <rFont val="Arial"/>
        <family val="2"/>
      </rPr>
      <t xml:space="preserve"> = valor inicial do bem</t>
    </r>
  </si>
  <si>
    <r>
      <t>V</t>
    </r>
    <r>
      <rPr>
        <vertAlign val="subscript"/>
        <sz val="12"/>
        <color indexed="8"/>
        <rFont val="Arial"/>
        <family val="2"/>
      </rPr>
      <t>r</t>
    </r>
    <r>
      <rPr>
        <sz val="12"/>
        <color indexed="8"/>
        <rFont val="Arial"/>
        <family val="2"/>
      </rPr>
      <t xml:space="preserve"> = valor residual do bem</t>
    </r>
  </si>
  <si>
    <t>6. Remuneração de Capital</t>
  </si>
  <si>
    <t>Custo unitário</t>
  </si>
  <si>
    <t>Custo de óleo do motor /1.000 km rodados</t>
  </si>
  <si>
    <t>Custo de óleo da transmissão /1.000 km</t>
  </si>
  <si>
    <t>Custo de óleo hidráulico / 1.000 km</t>
  </si>
  <si>
    <t>CUSTO MENSAL COM BDI (R$/mês)</t>
  </si>
  <si>
    <t>Fórmula de cálculo da remuneração de capital:</t>
  </si>
  <si>
    <t>Total por Motorista</t>
  </si>
  <si>
    <t>Durabilidade (meses)</t>
  </si>
  <si>
    <t>Custo com consumos/km rodado</t>
  </si>
  <si>
    <t>Consumo</t>
  </si>
  <si>
    <t>Total por veículo</t>
  </si>
  <si>
    <t>Total da frota</t>
  </si>
  <si>
    <t>Depreciação Média</t>
  </si>
  <si>
    <t>Piso da categoria (2)</t>
  </si>
  <si>
    <t>Salário mínimo nacional (1)</t>
  </si>
  <si>
    <t>1.7. Eng Eletricista</t>
  </si>
  <si>
    <t>1.8. Eng seg trabalho</t>
  </si>
  <si>
    <t>1.9. Vale Transporte</t>
  </si>
  <si>
    <t>2.1. Uniformes e EPIs para Eletricista/eletrotecnico/auxiliar eletricista</t>
  </si>
  <si>
    <t xml:space="preserve">Capacete Classe B (Risco Elétrico) Com Jugular </t>
  </si>
  <si>
    <t xml:space="preserve">Óculos De Segurança Escuro Com Estojo </t>
  </si>
  <si>
    <t xml:space="preserve">Óculos De Segurança Cristalino Com Estojo </t>
  </si>
  <si>
    <t xml:space="preserve">Calçados De Segurança (Risco Elétrico) </t>
  </si>
  <si>
    <t xml:space="preserve">Vestimenta Anti-Chama (Calça+Camisa Manga Comprida) </t>
  </si>
  <si>
    <t xml:space="preserve">Conjunto Impermeável (Calça E Jaqueta) </t>
  </si>
  <si>
    <t xml:space="preserve">Camisetas </t>
  </si>
  <si>
    <t xml:space="preserve">Luvas De Couro Tipo Vaqueta </t>
  </si>
  <si>
    <t xml:space="preserve">Luvas De Borracha Classe 0 (Zero) Até 1.000 Volts </t>
  </si>
  <si>
    <t xml:space="preserve">Luvas De Cobertura </t>
  </si>
  <si>
    <t xml:space="preserve">Cinto De Segurança Tipo Pára-Quedista </t>
  </si>
  <si>
    <t xml:space="preserve">Talabarte De Segurança Regulável </t>
  </si>
  <si>
    <t xml:space="preserve">Trava Quedas </t>
  </si>
  <si>
    <t xml:space="preserve">Fita De Ancoragem De 1,2m </t>
  </si>
  <si>
    <t xml:space="preserve">Mosquetão Oval </t>
  </si>
  <si>
    <t xml:space="preserve">Mosquetão Tipo Pêra (Resgate) </t>
  </si>
  <si>
    <t xml:space="preserve">Linha De Vida 12 Mm De 25 M - Sistema De Resgate Integrado </t>
  </si>
  <si>
    <t xml:space="preserve">Un </t>
  </si>
  <si>
    <t xml:space="preserve">Par </t>
  </si>
  <si>
    <t xml:space="preserve">Pç </t>
  </si>
  <si>
    <t xml:space="preserve">Cj </t>
  </si>
  <si>
    <t xml:space="preserve">Mangas Isolantes De Borracha, Tipo I Ou Ii, Classe 2 </t>
  </si>
  <si>
    <t>3.1. Caminhão Cesto aéreo 12 metros</t>
  </si>
  <si>
    <t>3.2. Guindauto capacidade 6,2tn</t>
  </si>
  <si>
    <t>3.2.1. Depreciação</t>
  </si>
  <si>
    <t>3.2.2. Remuneração do Capital</t>
  </si>
  <si>
    <t>3.2.3. Impostos e Seguros</t>
  </si>
  <si>
    <t>3.2.4. Consumos</t>
  </si>
  <si>
    <t>3.2.5. Manutenção</t>
  </si>
  <si>
    <t>3.2.6. Pneus</t>
  </si>
  <si>
    <t>3.3. Veículo de passeio</t>
  </si>
  <si>
    <t>3.3.1. Depreciação</t>
  </si>
  <si>
    <t>3.3.2. Remuneração do Capital</t>
  </si>
  <si>
    <t>3.3.3. Impostos e Seguros</t>
  </si>
  <si>
    <t>3.3.4. Consumos</t>
  </si>
  <si>
    <t>3.3.5. Manutenção</t>
  </si>
  <si>
    <t>3.3.6. Pneus</t>
  </si>
  <si>
    <t xml:space="preserve">Alicate Bomba D'água De 305 Mm, Isolado Para 1000v, Abertura Total 85mm </t>
  </si>
  <si>
    <t xml:space="preserve">Alicate De Corte Diagonal </t>
  </si>
  <si>
    <t xml:space="preserve">Alicate Volt-Amperímetro - Categoria Iv </t>
  </si>
  <si>
    <t xml:space="preserve">Alicate Universal Isolamento Para 1000v </t>
  </si>
  <si>
    <t xml:space="preserve">Balde De Lona Para Içamento </t>
  </si>
  <si>
    <t xml:space="preserve">Bolsa Para Acondicionar Epis </t>
  </si>
  <si>
    <t xml:space="preserve">Canivete Para Eletricista Com Estojo </t>
  </si>
  <si>
    <t xml:space="preserve">Carretilha Com Gancho E Corda 25m 1/2" P/ 250kg (Roldana De Içamento) </t>
  </si>
  <si>
    <t xml:space="preserve">Chave De Fenda Média Haste De 10 Cm Isolada Para 1000v </t>
  </si>
  <si>
    <t xml:space="preserve">Chave De Fenda Média Haste De 20 Cm Isolada Para 1000v </t>
  </si>
  <si>
    <t xml:space="preserve">Chave De Teste, Isolada Para 1000v </t>
  </si>
  <si>
    <t xml:space="preserve">Chave Estrela 13mm </t>
  </si>
  <si>
    <t xml:space="preserve">Chave Inglesa 12" </t>
  </si>
  <si>
    <t xml:space="preserve">Chave Inglesa 8" </t>
  </si>
  <si>
    <t xml:space="preserve">Lanterna Para Capacete </t>
  </si>
  <si>
    <t xml:space="preserve">Maleta Para Ferramentas / Bolsa Para Ferramentas </t>
  </si>
  <si>
    <t xml:space="preserve">Marreta De 500g </t>
  </si>
  <si>
    <t xml:space="preserve">Protetor Solar Com Fator De Proteção De No Mínimo 30 Com Repelente Contra Insetos </t>
  </si>
  <si>
    <t xml:space="preserve">Trena Com 2m </t>
  </si>
  <si>
    <t>5. Benefícios e Despesas Indiretas - BDI</t>
  </si>
  <si>
    <t>Servidores</t>
  </si>
  <si>
    <t xml:space="preserve">PREÇO TOTAL MENSAL </t>
  </si>
  <si>
    <t>Vale refeição</t>
  </si>
  <si>
    <t>Dias trabalhados por mês</t>
  </si>
  <si>
    <t>Custo de aquisição do chassis com cesto</t>
  </si>
  <si>
    <t xml:space="preserve">Depreciação mensal </t>
  </si>
  <si>
    <t>Custo de aquisição cesto elevatório</t>
  </si>
  <si>
    <t>Custo do cesto</t>
  </si>
  <si>
    <t>Investimento médio total do cesto</t>
  </si>
  <si>
    <t>Custo do jogo de pneus</t>
  </si>
  <si>
    <t>3363</t>
  </si>
  <si>
    <t>Custo de guindauto</t>
  </si>
  <si>
    <t>Vida útil do guindauto</t>
  </si>
  <si>
    <t>PICAPE CABINE SIMPLES COM MOTOR 1.6 FLEX, CAMBIO MANUAL, POTENCIA 101/104 CV, 2 UN 96.557,43</t>
  </si>
  <si>
    <t>PORTAS</t>
  </si>
  <si>
    <t>Custo de manutenção</t>
  </si>
  <si>
    <t xml:space="preserve">Custo do jogo de pneus </t>
  </si>
  <si>
    <t>PREFEITURA MUNICIPAL DE CAMPO BOM/RS</t>
  </si>
  <si>
    <t>Secretaria de Obras, Planejamento e  Serviços Urbanos</t>
  </si>
  <si>
    <t>COMPOSIÇÃO DE BDI</t>
  </si>
  <si>
    <t>1 OBJETO: Prestação de serviços com fornecimento de equipe técnica especializada, maquinários, veículos, ferramentas e responsabilidade técnica para execução de serviços de manutenção, modernização, revisão, melhorias do sistema de iluminação pública e redes elétricas e lógicas prediais, em caráter de serviços continuados, no Município de Campo Bom – RS.</t>
  </si>
  <si>
    <t>DESCRIÇÃO ANALÍTICA</t>
  </si>
  <si>
    <t>Administração central</t>
  </si>
  <si>
    <t>S + G</t>
  </si>
  <si>
    <t xml:space="preserve">Seguro Garantia </t>
  </si>
  <si>
    <t>R</t>
  </si>
  <si>
    <t>Risco</t>
  </si>
  <si>
    <t>Depesas Financeiras</t>
  </si>
  <si>
    <t>I</t>
  </si>
  <si>
    <t>Taxa Representativa de Tributos (PIS+COFINS+ISSQN)</t>
  </si>
  <si>
    <t>6.1</t>
  </si>
  <si>
    <t>PIS</t>
  </si>
  <si>
    <t>6.2</t>
  </si>
  <si>
    <t>COFINS</t>
  </si>
  <si>
    <t>6.3</t>
  </si>
  <si>
    <t>CPRB</t>
  </si>
  <si>
    <t>Contribuição Previdenciária sobre a Receita Bruta</t>
  </si>
  <si>
    <t>6.4</t>
  </si>
  <si>
    <t>ISSQN</t>
  </si>
  <si>
    <t>ISSQN (Alíquota x % Base de cálculo</t>
  </si>
  <si>
    <t>Fórmula para o cálculo do B.D.I. ( benefícios e despesas indiretas )</t>
  </si>
  <si>
    <t>BDI:</t>
  </si>
  <si>
    <t>Alíquota de ISSQN: 2%</t>
  </si>
  <si>
    <t/>
  </si>
  <si>
    <t>equipe 01</t>
  </si>
  <si>
    <t>equipe 02</t>
  </si>
  <si>
    <t>equipe 03</t>
  </si>
  <si>
    <t>eletricista</t>
  </si>
  <si>
    <t>motorista</t>
  </si>
  <si>
    <t>eletrotécnico</t>
  </si>
  <si>
    <t>auxiliar eletricista</t>
  </si>
  <si>
    <t>caminhão cesto</t>
  </si>
  <si>
    <t>guindauto</t>
  </si>
  <si>
    <t>passeio</t>
  </si>
  <si>
    <t>turno dia</t>
  </si>
  <si>
    <t>turno noite</t>
  </si>
  <si>
    <t>extra dia 50%</t>
  </si>
  <si>
    <t>extra dia 100%</t>
  </si>
  <si>
    <t>extra noite 50%</t>
  </si>
  <si>
    <t>extra noite 100%</t>
  </si>
  <si>
    <t>predial</t>
  </si>
  <si>
    <t>equipe 04</t>
  </si>
  <si>
    <t>compartilhado</t>
  </si>
  <si>
    <t xml:space="preserve">guindauto </t>
  </si>
  <si>
    <t>utilização 1 semana por mês</t>
  </si>
  <si>
    <t>Adicional de periculosidade</t>
  </si>
  <si>
    <t>Escada extensiva 19 degraus de fibra vasada</t>
  </si>
  <si>
    <t>% Mão de Obra em relação ao valor total da obra (47%)</t>
  </si>
  <si>
    <t>1.2. Eletricista Turno noite</t>
  </si>
  <si>
    <t>1.1. Eletricista Turno dia</t>
  </si>
  <si>
    <t>total efetivo</t>
  </si>
  <si>
    <t>1.3. Motorista Turno Dia</t>
  </si>
  <si>
    <t xml:space="preserve">Vida útil </t>
  </si>
  <si>
    <t xml:space="preserve">Idade </t>
  </si>
  <si>
    <t>Depreciação</t>
  </si>
  <si>
    <t>*1 semana por mês</t>
  </si>
  <si>
    <t xml:space="preserve">Depreciação </t>
  </si>
  <si>
    <t>Custo do guindauto</t>
  </si>
  <si>
    <t>Investimento médio total do guindauto</t>
  </si>
  <si>
    <t>iluminação publica/predial</t>
  </si>
  <si>
    <t>integral</t>
  </si>
  <si>
    <t xml:space="preserve">Secretaria de Obras, Planejamento e  Serviços Urbanos </t>
  </si>
  <si>
    <t xml:space="preserve">CRONOGRAMA FÍSICO-FINANCEIRO </t>
  </si>
  <si>
    <t>MÊS</t>
  </si>
  <si>
    <t>VALOR (R$)</t>
  </si>
  <si>
    <t>FRAÇÃO</t>
  </si>
  <si>
    <t>TOTAL</t>
  </si>
  <si>
    <t>1 semana/mês</t>
  </si>
  <si>
    <t>1.5. Eletrotécnico Turno dia</t>
  </si>
  <si>
    <t>1.6. Auxiliar de eletricista Turno dia</t>
  </si>
  <si>
    <t>INTEGRAL</t>
  </si>
  <si>
    <t>1 SEMANA/MÊS F:0,22</t>
  </si>
  <si>
    <t>resp. técnicos</t>
  </si>
  <si>
    <t>fração 30%</t>
  </si>
  <si>
    <t>RESUMO EQUIPES</t>
  </si>
  <si>
    <t>1.10. Vale-refeição (diário)</t>
  </si>
  <si>
    <t>cesto aéreo</t>
  </si>
  <si>
    <t>2 veículos integral</t>
  </si>
  <si>
    <t>veículo passeio</t>
  </si>
  <si>
    <t>3 equipes integral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</si>
</sst>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_);\(&quot;R$ &quot;#,##0.00\)"/>
    <numFmt numFmtId="165" formatCode="_(* #,##0.00_);_(* \(#,##0.00\);_(* &quot;-&quot;??_);_(@_)"/>
    <numFmt numFmtId="166" formatCode="_(* #,##0_);_(* \(#,##0\);_(* &quot;-&quot;??_);_(@_)"/>
    <numFmt numFmtId="167" formatCode="_(* #,##0.000_);_(* \(#,##0.000\);_(* &quot;-&quot;??_);_(@_)"/>
    <numFmt numFmtId="168" formatCode="&quot;R$ &quot;#,##0.00"/>
    <numFmt numFmtId="169" formatCode="_(* #,##0.0000_);_(* \(#,##0.0000\);_(* &quot;-&quot;??_);_(@_)"/>
    <numFmt numFmtId="170" formatCode="_(&quot;R$ &quot;* #,##0.00_);_(&quot;R$ &quot;* \(#,##0.00\);_(&quot;R$ &quot;* &quot;-&quot;??_);_(@_)"/>
  </numFmts>
  <fonts count="3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u/>
      <sz val="10"/>
      <color indexed="12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b/>
      <sz val="9"/>
      <name val="Arial"/>
      <family val="2"/>
    </font>
    <font>
      <b/>
      <u/>
      <sz val="9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4"/>
      <name val="Arial"/>
      <family val="2"/>
    </font>
    <font>
      <sz val="11"/>
      <color rgb="FF000000"/>
      <name val="Arial"/>
      <family val="2"/>
    </font>
    <font>
      <sz val="12"/>
      <color theme="1"/>
      <name val="Arial"/>
      <family val="2"/>
    </font>
    <font>
      <vertAlign val="subscript"/>
      <sz val="12"/>
      <color indexed="8"/>
      <name val="Arial"/>
      <family val="2"/>
    </font>
    <font>
      <sz val="12"/>
      <color indexed="8"/>
      <name val="Arial"/>
      <family val="2"/>
    </font>
    <font>
      <b/>
      <sz val="11"/>
      <color rgb="FF000000"/>
      <name val="Arial"/>
      <family val="2"/>
    </font>
    <font>
      <sz val="12"/>
      <name val="Arial"/>
      <family val="2"/>
    </font>
    <font>
      <sz val="11.5"/>
      <color rgb="FF000000"/>
      <name val="Times New Roman"/>
      <family val="1"/>
    </font>
    <font>
      <sz val="11.5"/>
      <name val="Times New Roman"/>
      <family val="1"/>
    </font>
    <font>
      <sz val="10"/>
      <name val="Arial"/>
    </font>
    <font>
      <sz val="9"/>
      <color rgb="FF000000"/>
      <name val="Arial"/>
      <family val="2"/>
    </font>
    <font>
      <sz val="11"/>
      <color rgb="FF000000"/>
      <name val="Calibri"/>
      <family val="2"/>
    </font>
    <font>
      <sz val="8"/>
      <color indexed="8"/>
      <name val="Courier"/>
      <family val="3"/>
    </font>
    <font>
      <b/>
      <sz val="18"/>
      <color indexed="8"/>
      <name val="Times New Roman"/>
      <family val="1"/>
    </font>
    <font>
      <b/>
      <sz val="24"/>
      <color indexed="8"/>
      <name val="Times New Roman"/>
      <family val="1"/>
    </font>
    <font>
      <sz val="18"/>
      <color indexed="8"/>
      <name val="Times New Roman"/>
      <family val="1"/>
    </font>
    <font>
      <sz val="18"/>
      <color theme="1"/>
      <name val="Times New Roman"/>
      <family val="1"/>
    </font>
    <font>
      <sz val="11"/>
      <color theme="1"/>
      <name val="Times New Roman"/>
      <family val="1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name val="Times New Roman"/>
      <family val="1"/>
    </font>
    <font>
      <sz val="12"/>
      <color theme="1"/>
      <name val="Calibri"/>
      <family val="2"/>
      <scheme val="minor"/>
    </font>
    <font>
      <sz val="9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2" tint="-0.249977111117893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  <xf numFmtId="9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27" fillId="0" borderId="0"/>
    <xf numFmtId="4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5" fontId="25" fillId="0" borderId="0" applyFont="0" applyFill="0" applyBorder="0" applyAlignment="0" applyProtection="0"/>
    <xf numFmtId="170" fontId="25" fillId="0" borderId="0" applyFont="0" applyFill="0" applyBorder="0" applyAlignment="0" applyProtection="0"/>
    <xf numFmtId="9" fontId="25" fillId="0" borderId="0" applyFont="0" applyFill="0" applyBorder="0" applyAlignment="0" applyProtection="0"/>
  </cellStyleXfs>
  <cellXfs count="321">
    <xf numFmtId="0" fontId="0" fillId="0" borderId="0" xfId="0"/>
    <xf numFmtId="0" fontId="7" fillId="0" borderId="0" xfId="0" applyFont="1"/>
    <xf numFmtId="0" fontId="0" fillId="0" borderId="0" xfId="0" applyAlignment="1">
      <alignment vertical="center"/>
    </xf>
    <xf numFmtId="4" fontId="0" fillId="0" borderId="0" xfId="0" applyNumberFormat="1" applyAlignment="1">
      <alignment vertical="center"/>
    </xf>
    <xf numFmtId="165" fontId="0" fillId="0" borderId="0" xfId="3" applyFont="1" applyAlignment="1">
      <alignment vertical="center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7" fillId="0" borderId="0" xfId="3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165" fontId="7" fillId="0" borderId="2" xfId="3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165" fontId="7" fillId="0" borderId="1" xfId="3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165" fontId="7" fillId="0" borderId="0" xfId="3" applyFont="1" applyAlignment="1">
      <alignment horizontal="center" vertical="center"/>
    </xf>
    <xf numFmtId="165" fontId="4" fillId="2" borderId="4" xfId="3" applyFont="1" applyFill="1" applyBorder="1" applyAlignment="1">
      <alignment horizontal="center" vertical="center"/>
    </xf>
    <xf numFmtId="165" fontId="4" fillId="2" borderId="4" xfId="3" applyFont="1" applyFill="1" applyBorder="1" applyAlignment="1">
      <alignment vertical="center"/>
    </xf>
    <xf numFmtId="165" fontId="4" fillId="0" borderId="0" xfId="3" applyFont="1" applyFill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165" fontId="4" fillId="0" borderId="6" xfId="3" applyFont="1" applyBorder="1" applyAlignment="1">
      <alignment vertical="center"/>
    </xf>
    <xf numFmtId="165" fontId="4" fillId="0" borderId="7" xfId="3" applyFont="1" applyBorder="1" applyAlignment="1">
      <alignment vertical="center"/>
    </xf>
    <xf numFmtId="0" fontId="7" fillId="0" borderId="6" xfId="0" applyFont="1" applyBorder="1" applyAlignment="1">
      <alignment vertical="center"/>
    </xf>
    <xf numFmtId="165" fontId="7" fillId="0" borderId="6" xfId="3" applyFont="1" applyBorder="1" applyAlignment="1">
      <alignment vertical="center"/>
    </xf>
    <xf numFmtId="165" fontId="7" fillId="0" borderId="7" xfId="3" applyFont="1" applyBorder="1" applyAlignment="1">
      <alignment vertical="center"/>
    </xf>
    <xf numFmtId="165" fontId="4" fillId="0" borderId="0" xfId="3" applyFont="1" applyBorder="1" applyAlignment="1">
      <alignment horizontal="center" vertical="center"/>
    </xf>
    <xf numFmtId="3" fontId="7" fillId="0" borderId="0" xfId="0" applyNumberFormat="1" applyFont="1" applyAlignment="1">
      <alignment vertical="center"/>
    </xf>
    <xf numFmtId="165" fontId="4" fillId="0" borderId="0" xfId="3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65" fontId="4" fillId="0" borderId="0" xfId="3" applyFont="1" applyBorder="1" applyAlignment="1">
      <alignment vertical="center"/>
    </xf>
    <xf numFmtId="165" fontId="6" fillId="0" borderId="0" xfId="3" applyFont="1" applyAlignment="1">
      <alignment vertical="center"/>
    </xf>
    <xf numFmtId="165" fontId="7" fillId="0" borderId="0" xfId="3" applyFont="1"/>
    <xf numFmtId="165" fontId="0" fillId="0" borderId="10" xfId="3" applyFont="1" applyBorder="1" applyAlignment="1">
      <alignment vertical="center"/>
    </xf>
    <xf numFmtId="165" fontId="4" fillId="0" borderId="11" xfId="3" applyFont="1" applyBorder="1" applyAlignment="1">
      <alignment horizontal="center" vertical="center"/>
    </xf>
    <xf numFmtId="165" fontId="4" fillId="0" borderId="5" xfId="3" applyFont="1" applyBorder="1" applyAlignment="1">
      <alignment horizontal="left" vertical="center"/>
    </xf>
    <xf numFmtId="4" fontId="4" fillId="0" borderId="6" xfId="0" applyNumberFormat="1" applyFont="1" applyBorder="1" applyAlignment="1">
      <alignment horizontal="centerContinuous" vertical="center"/>
    </xf>
    <xf numFmtId="165" fontId="4" fillId="0" borderId="0" xfId="3" applyFont="1" applyAlignment="1">
      <alignment vertical="center"/>
    </xf>
    <xf numFmtId="165" fontId="0" fillId="0" borderId="8" xfId="0" applyNumberFormat="1" applyBorder="1" applyAlignment="1">
      <alignment vertical="center"/>
    </xf>
    <xf numFmtId="4" fontId="0" fillId="0" borderId="8" xfId="0" applyNumberFormat="1" applyBorder="1" applyAlignment="1">
      <alignment horizontal="centerContinuous" vertical="center"/>
    </xf>
    <xf numFmtId="165" fontId="0" fillId="0" borderId="8" xfId="3" applyFont="1" applyBorder="1" applyAlignment="1">
      <alignment vertical="center"/>
    </xf>
    <xf numFmtId="165" fontId="0" fillId="0" borderId="12" xfId="3" applyFont="1" applyBorder="1" applyAlignment="1">
      <alignment vertical="center"/>
    </xf>
    <xf numFmtId="165" fontId="7" fillId="0" borderId="1" xfId="3" applyFont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Border="1" applyAlignment="1">
      <alignment vertical="center"/>
    </xf>
    <xf numFmtId="165" fontId="7" fillId="0" borderId="0" xfId="3" applyFont="1" applyFill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165" fontId="5" fillId="0" borderId="0" xfId="3" applyFont="1" applyBorder="1" applyAlignment="1">
      <alignment vertical="center"/>
    </xf>
    <xf numFmtId="10" fontId="0" fillId="0" borderId="13" xfId="2" applyNumberFormat="1" applyFont="1" applyBorder="1" applyAlignment="1">
      <alignment vertical="center"/>
    </xf>
    <xf numFmtId="165" fontId="7" fillId="0" borderId="0" xfId="3" applyFont="1" applyBorder="1" applyAlignment="1">
      <alignment vertical="center"/>
    </xf>
    <xf numFmtId="0" fontId="12" fillId="2" borderId="14" xfId="0" applyFont="1" applyFill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/>
    </xf>
    <xf numFmtId="165" fontId="12" fillId="2" borderId="15" xfId="3" applyFont="1" applyFill="1" applyBorder="1" applyAlignment="1">
      <alignment horizontal="center" vertical="center"/>
    </xf>
    <xf numFmtId="165" fontId="12" fillId="2" borderId="16" xfId="3" applyFont="1" applyFill="1" applyBorder="1" applyAlignment="1">
      <alignment horizontal="center" vertical="center"/>
    </xf>
    <xf numFmtId="165" fontId="4" fillId="0" borderId="17" xfId="3" applyFont="1" applyBorder="1" applyAlignment="1">
      <alignment horizontal="center" vertical="center"/>
    </xf>
    <xf numFmtId="165" fontId="2" fillId="0" borderId="12" xfId="3" applyFont="1" applyBorder="1" applyAlignment="1">
      <alignment horizontal="left" vertical="center"/>
    </xf>
    <xf numFmtId="166" fontId="7" fillId="0" borderId="0" xfId="3" applyNumberFormat="1" applyFont="1" applyBorder="1" applyAlignment="1">
      <alignment horizontal="center" vertical="center"/>
    </xf>
    <xf numFmtId="165" fontId="7" fillId="0" borderId="1" xfId="3" applyFont="1" applyFill="1" applyBorder="1" applyAlignment="1">
      <alignment horizontal="center" vertical="center"/>
    </xf>
    <xf numFmtId="43" fontId="7" fillId="0" borderId="0" xfId="0" applyNumberFormat="1" applyFont="1" applyAlignment="1">
      <alignment vertical="center"/>
    </xf>
    <xf numFmtId="0" fontId="7" fillId="3" borderId="1" xfId="0" applyFont="1" applyFill="1" applyBorder="1" applyAlignment="1">
      <alignment horizontal="center" vertical="center"/>
    </xf>
    <xf numFmtId="165" fontId="7" fillId="3" borderId="2" xfId="3" applyFont="1" applyFill="1" applyBorder="1" applyAlignment="1">
      <alignment horizontal="center" vertical="center"/>
    </xf>
    <xf numFmtId="2" fontId="7" fillId="3" borderId="1" xfId="0" applyNumberFormat="1" applyFont="1" applyFill="1" applyBorder="1" applyAlignment="1">
      <alignment horizontal="center" vertical="center"/>
    </xf>
    <xf numFmtId="165" fontId="7" fillId="3" borderId="1" xfId="3" applyFont="1" applyFill="1" applyBorder="1" applyAlignment="1">
      <alignment horizontal="center" vertical="center"/>
    </xf>
    <xf numFmtId="1" fontId="7" fillId="3" borderId="1" xfId="0" applyNumberFormat="1" applyFont="1" applyFill="1" applyBorder="1" applyAlignment="1">
      <alignment horizontal="center" vertical="center"/>
    </xf>
    <xf numFmtId="166" fontId="7" fillId="0" borderId="1" xfId="3" applyNumberFormat="1" applyFont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4" fontId="7" fillId="3" borderId="2" xfId="0" applyNumberFormat="1" applyFont="1" applyFill="1" applyBorder="1" applyAlignment="1">
      <alignment horizontal="center" vertical="center"/>
    </xf>
    <xf numFmtId="167" fontId="7" fillId="3" borderId="2" xfId="3" applyNumberFormat="1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  <xf numFmtId="13" fontId="7" fillId="3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165" fontId="4" fillId="0" borderId="1" xfId="3" applyFont="1" applyBorder="1" applyAlignment="1">
      <alignment horizontal="center" vertical="center"/>
    </xf>
    <xf numFmtId="165" fontId="7" fillId="0" borderId="2" xfId="3" applyFont="1" applyFill="1" applyBorder="1" applyAlignment="1">
      <alignment horizontal="center" vertical="center"/>
    </xf>
    <xf numFmtId="0" fontId="9" fillId="0" borderId="0" xfId="1" applyAlignment="1" applyProtection="1">
      <alignment vertical="center"/>
    </xf>
    <xf numFmtId="0" fontId="4" fillId="0" borderId="0" xfId="0" applyFont="1"/>
    <xf numFmtId="0" fontId="12" fillId="2" borderId="27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165" fontId="12" fillId="2" borderId="28" xfId="3" applyFont="1" applyFill="1" applyBorder="1" applyAlignment="1">
      <alignment horizontal="center" vertical="center"/>
    </xf>
    <xf numFmtId="165" fontId="7" fillId="0" borderId="0" xfId="3" applyFont="1" applyFill="1" applyAlignment="1">
      <alignment vertical="center"/>
    </xf>
    <xf numFmtId="165" fontId="4" fillId="0" borderId="1" xfId="3" applyFont="1" applyFill="1" applyBorder="1" applyAlignment="1">
      <alignment horizontal="center" vertical="center"/>
    </xf>
    <xf numFmtId="3" fontId="7" fillId="3" borderId="1" xfId="0" applyNumberFormat="1" applyFont="1" applyFill="1" applyBorder="1" applyAlignment="1">
      <alignment vertical="center"/>
    </xf>
    <xf numFmtId="164" fontId="4" fillId="0" borderId="29" xfId="0" applyNumberFormat="1" applyFont="1" applyBorder="1" applyAlignment="1">
      <alignment vertical="center"/>
    </xf>
    <xf numFmtId="165" fontId="4" fillId="0" borderId="30" xfId="3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165" fontId="4" fillId="0" borderId="0" xfId="3" applyFont="1" applyAlignment="1">
      <alignment horizontal="center" vertical="center"/>
    </xf>
    <xf numFmtId="165" fontId="4" fillId="0" borderId="3" xfId="3" applyFont="1" applyBorder="1" applyAlignment="1">
      <alignment horizontal="center" vertical="center"/>
    </xf>
    <xf numFmtId="2" fontId="7" fillId="0" borderId="1" xfId="3" applyNumberFormat="1" applyFont="1" applyBorder="1" applyAlignment="1">
      <alignment horizontal="center" vertical="center"/>
    </xf>
    <xf numFmtId="165" fontId="7" fillId="0" borderId="0" xfId="3" applyFont="1" applyAlignment="1">
      <alignment horizontal="right" vertical="center"/>
    </xf>
    <xf numFmtId="165" fontId="4" fillId="2" borderId="7" xfId="3" applyFont="1" applyFill="1" applyBorder="1" applyAlignment="1">
      <alignment horizontal="center" vertical="center"/>
    </xf>
    <xf numFmtId="165" fontId="4" fillId="0" borderId="12" xfId="3" applyFont="1" applyBorder="1" applyAlignment="1">
      <alignment vertical="center"/>
    </xf>
    <xf numFmtId="165" fontId="4" fillId="0" borderId="8" xfId="0" applyNumberFormat="1" applyFont="1" applyBorder="1" applyAlignment="1">
      <alignment vertical="center"/>
    </xf>
    <xf numFmtId="165" fontId="4" fillId="0" borderId="8" xfId="3" applyFont="1" applyBorder="1" applyAlignment="1">
      <alignment vertical="center"/>
    </xf>
    <xf numFmtId="10" fontId="4" fillId="0" borderId="13" xfId="2" applyNumberFormat="1" applyFont="1" applyBorder="1" applyAlignment="1">
      <alignment vertical="center"/>
    </xf>
    <xf numFmtId="165" fontId="4" fillId="0" borderId="32" xfId="3" applyFont="1" applyBorder="1" applyAlignment="1">
      <alignment vertical="center"/>
    </xf>
    <xf numFmtId="4" fontId="4" fillId="0" borderId="0" xfId="0" applyNumberFormat="1" applyFont="1" applyBorder="1" applyAlignment="1">
      <alignment vertical="center"/>
    </xf>
    <xf numFmtId="165" fontId="7" fillId="0" borderId="33" xfId="3" applyFont="1" applyBorder="1" applyAlignment="1">
      <alignment vertical="center"/>
    </xf>
    <xf numFmtId="165" fontId="4" fillId="0" borderId="12" xfId="3" applyFont="1" applyBorder="1" applyAlignment="1">
      <alignment horizontal="left" vertical="center"/>
    </xf>
    <xf numFmtId="4" fontId="4" fillId="0" borderId="8" xfId="0" applyNumberFormat="1" applyFont="1" applyBorder="1" applyAlignment="1">
      <alignment horizontal="centerContinuous" vertical="center"/>
    </xf>
    <xf numFmtId="4" fontId="0" fillId="0" borderId="0" xfId="0" applyNumberFormat="1" applyBorder="1" applyAlignment="1">
      <alignment vertical="center"/>
    </xf>
    <xf numFmtId="165" fontId="7" fillId="5" borderId="1" xfId="3" applyFont="1" applyFill="1" applyBorder="1" applyAlignment="1">
      <alignment horizontal="center" vertical="center"/>
    </xf>
    <xf numFmtId="165" fontId="7" fillId="5" borderId="1" xfId="3" applyFont="1" applyFill="1" applyBorder="1" applyAlignment="1">
      <alignment vertical="center"/>
    </xf>
    <xf numFmtId="9" fontId="4" fillId="0" borderId="16" xfId="2" applyFont="1" applyBorder="1" applyAlignment="1">
      <alignment vertical="center"/>
    </xf>
    <xf numFmtId="165" fontId="7" fillId="0" borderId="1" xfId="0" applyNumberFormat="1" applyFont="1" applyFill="1" applyBorder="1" applyAlignment="1">
      <alignment horizontal="center" vertical="center"/>
    </xf>
    <xf numFmtId="0" fontId="0" fillId="0" borderId="32" xfId="0" applyFill="1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165" fontId="0" fillId="0" borderId="0" xfId="3" applyFont="1" applyFill="1" applyBorder="1" applyAlignment="1">
      <alignment vertical="center"/>
    </xf>
    <xf numFmtId="165" fontId="0" fillId="0" borderId="33" xfId="3" applyFont="1" applyFill="1" applyBorder="1" applyAlignment="1">
      <alignment vertical="center"/>
    </xf>
    <xf numFmtId="166" fontId="4" fillId="0" borderId="0" xfId="3" applyNumberFormat="1" applyFont="1" applyBorder="1" applyAlignment="1">
      <alignment horizontal="center" vertical="center"/>
    </xf>
    <xf numFmtId="2" fontId="17" fillId="6" borderId="1" xfId="0" applyNumberFormat="1" applyFont="1" applyFill="1" applyBorder="1" applyAlignment="1">
      <alignment horizontal="right" vertical="center"/>
    </xf>
    <xf numFmtId="0" fontId="17" fillId="0" borderId="19" xfId="0" applyFont="1" applyBorder="1" applyAlignment="1">
      <alignment horizontal="center" vertical="center"/>
    </xf>
    <xf numFmtId="0" fontId="17" fillId="0" borderId="20" xfId="0" applyFont="1" applyBorder="1" applyAlignment="1">
      <alignment horizontal="center" vertical="center"/>
    </xf>
    <xf numFmtId="2" fontId="17" fillId="6" borderId="31" xfId="0" applyNumberFormat="1" applyFont="1" applyFill="1" applyBorder="1" applyAlignment="1">
      <alignment horizontal="right" vertical="center"/>
    </xf>
    <xf numFmtId="0" fontId="7" fillId="0" borderId="36" xfId="0" applyFont="1" applyBorder="1"/>
    <xf numFmtId="0" fontId="18" fillId="0" borderId="36" xfId="0" applyFont="1" applyBorder="1" applyAlignment="1">
      <alignment horizontal="justify"/>
    </xf>
    <xf numFmtId="0" fontId="18" fillId="0" borderId="37" xfId="0" applyFont="1" applyBorder="1" applyAlignment="1">
      <alignment horizontal="justify"/>
    </xf>
    <xf numFmtId="0" fontId="16" fillId="8" borderId="35" xfId="0" applyFont="1" applyFill="1" applyBorder="1" applyAlignment="1">
      <alignment horizontal="center"/>
    </xf>
    <xf numFmtId="1" fontId="7" fillId="0" borderId="0" xfId="3" applyNumberFormat="1" applyFont="1" applyBorder="1" applyAlignment="1">
      <alignment horizontal="center" vertical="center"/>
    </xf>
    <xf numFmtId="168" fontId="4" fillId="0" borderId="1" xfId="0" applyNumberFormat="1" applyFont="1" applyBorder="1" applyAlignment="1">
      <alignment vertical="center"/>
    </xf>
    <xf numFmtId="168" fontId="0" fillId="0" borderId="1" xfId="0" applyNumberFormat="1" applyBorder="1" applyAlignment="1">
      <alignment vertical="center"/>
    </xf>
    <xf numFmtId="168" fontId="4" fillId="0" borderId="31" xfId="0" applyNumberFormat="1" applyFont="1" applyBorder="1" applyAlignment="1">
      <alignment vertical="center"/>
    </xf>
    <xf numFmtId="165" fontId="4" fillId="0" borderId="10" xfId="3" applyFont="1" applyBorder="1" applyAlignment="1">
      <alignment vertical="center"/>
    </xf>
    <xf numFmtId="165" fontId="4" fillId="0" borderId="5" xfId="3" applyFont="1" applyBorder="1" applyAlignment="1">
      <alignment vertical="center"/>
    </xf>
    <xf numFmtId="9" fontId="4" fillId="3" borderId="7" xfId="2" applyFont="1" applyFill="1" applyBorder="1" applyAlignment="1">
      <alignment vertical="center"/>
    </xf>
    <xf numFmtId="0" fontId="21" fillId="0" borderId="19" xfId="0" applyFont="1" applyBorder="1" applyAlignment="1">
      <alignment horizontal="center" vertical="center"/>
    </xf>
    <xf numFmtId="0" fontId="21" fillId="6" borderId="1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65" fontId="4" fillId="0" borderId="8" xfId="3" applyFont="1" applyBorder="1" applyAlignment="1">
      <alignment horizontal="center" vertical="center"/>
    </xf>
    <xf numFmtId="0" fontId="12" fillId="2" borderId="15" xfId="0" applyFont="1" applyFill="1" applyBorder="1" applyAlignment="1">
      <alignment horizontal="center" vertical="center" wrapText="1"/>
    </xf>
    <xf numFmtId="167" fontId="7" fillId="0" borderId="1" xfId="3" applyNumberFormat="1" applyFont="1" applyBorder="1" applyAlignment="1">
      <alignment horizontal="center" vertical="center"/>
    </xf>
    <xf numFmtId="166" fontId="4" fillId="0" borderId="1" xfId="3" applyNumberFormat="1" applyFont="1" applyBorder="1" applyAlignment="1">
      <alignment horizontal="center" vertical="center"/>
    </xf>
    <xf numFmtId="167" fontId="4" fillId="0" borderId="1" xfId="3" applyNumberFormat="1" applyFont="1" applyBorder="1" applyAlignment="1">
      <alignment horizontal="center" vertical="center"/>
    </xf>
    <xf numFmtId="167" fontId="7" fillId="0" borderId="2" xfId="3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4" fillId="0" borderId="38" xfId="0" applyFont="1" applyBorder="1" applyAlignment="1">
      <alignment vertical="center"/>
    </xf>
    <xf numFmtId="0" fontId="4" fillId="0" borderId="38" xfId="0" applyFont="1" applyBorder="1" applyAlignment="1">
      <alignment horizontal="center" vertical="center"/>
    </xf>
    <xf numFmtId="165" fontId="4" fillId="0" borderId="38" xfId="3" applyFont="1" applyBorder="1" applyAlignment="1">
      <alignment horizontal="center" vertical="center"/>
    </xf>
    <xf numFmtId="165" fontId="4" fillId="0" borderId="38" xfId="3" applyFont="1" applyFill="1" applyBorder="1" applyAlignment="1">
      <alignment horizontal="center" vertical="center"/>
    </xf>
    <xf numFmtId="4" fontId="22" fillId="0" borderId="0" xfId="0" applyNumberFormat="1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0" xfId="0" applyFont="1" applyAlignment="1">
      <alignment horizontal="right" vertical="center"/>
    </xf>
    <xf numFmtId="165" fontId="2" fillId="0" borderId="0" xfId="3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6" fontId="2" fillId="0" borderId="1" xfId="3" applyNumberFormat="1" applyFont="1" applyBorder="1" applyAlignment="1">
      <alignment horizontal="center" vertical="center"/>
    </xf>
    <xf numFmtId="165" fontId="2" fillId="3" borderId="0" xfId="3" applyFont="1" applyFill="1" applyAlignment="1">
      <alignment vertical="center"/>
    </xf>
    <xf numFmtId="165" fontId="2" fillId="0" borderId="1" xfId="3" applyFont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166" fontId="2" fillId="0" borderId="1" xfId="3" applyNumberFormat="1" applyFont="1" applyBorder="1" applyAlignment="1">
      <alignment vertical="center"/>
    </xf>
    <xf numFmtId="165" fontId="2" fillId="0" borderId="2" xfId="3" applyFont="1" applyBorder="1" applyAlignment="1">
      <alignment horizontal="center" vertical="center"/>
    </xf>
    <xf numFmtId="0" fontId="23" fillId="0" borderId="0" xfId="0" applyFont="1" applyAlignment="1">
      <alignment vertical="center" wrapText="1"/>
    </xf>
    <xf numFmtId="165" fontId="4" fillId="0" borderId="1" xfId="3" applyFont="1" applyBorder="1" applyAlignment="1">
      <alignment horizontal="right" vertical="center"/>
    </xf>
    <xf numFmtId="1" fontId="7" fillId="0" borderId="1" xfId="3" applyNumberFormat="1" applyFont="1" applyBorder="1" applyAlignment="1">
      <alignment horizontal="center" vertical="center"/>
    </xf>
    <xf numFmtId="4" fontId="26" fillId="0" borderId="0" xfId="0" applyNumberFormat="1" applyFont="1"/>
    <xf numFmtId="166" fontId="2" fillId="0" borderId="1" xfId="3" applyNumberFormat="1" applyFont="1" applyFill="1" applyBorder="1" applyAlignment="1">
      <alignment vertical="center"/>
    </xf>
    <xf numFmtId="165" fontId="2" fillId="3" borderId="1" xfId="3" applyNumberFormat="1" applyFont="1" applyFill="1" applyBorder="1" applyAlignment="1">
      <alignment horizontal="center" vertical="center"/>
    </xf>
    <xf numFmtId="165" fontId="2" fillId="0" borderId="1" xfId="3" applyFont="1" applyBorder="1" applyAlignment="1">
      <alignment vertical="center"/>
    </xf>
    <xf numFmtId="1" fontId="2" fillId="0" borderId="1" xfId="0" applyNumberFormat="1" applyFont="1" applyBorder="1" applyAlignment="1">
      <alignment horizontal="center" vertical="center"/>
    </xf>
    <xf numFmtId="44" fontId="0" fillId="0" borderId="1" xfId="6" applyFont="1" applyBorder="1"/>
    <xf numFmtId="0" fontId="28" fillId="9" borderId="1" xfId="7" applyFont="1" applyFill="1" applyBorder="1" applyAlignment="1">
      <alignment horizontal="center" vertical="center" wrapText="1"/>
    </xf>
    <xf numFmtId="4" fontId="7" fillId="0" borderId="0" xfId="0" applyNumberFormat="1" applyFont="1" applyAlignment="1">
      <alignment vertical="center"/>
    </xf>
    <xf numFmtId="0" fontId="30" fillId="0" borderId="0" xfId="9" applyFont="1" applyFill="1" applyBorder="1" applyAlignment="1"/>
    <xf numFmtId="0" fontId="16" fillId="0" borderId="0" xfId="9" applyFont="1" applyFill="1" applyBorder="1" applyAlignment="1" applyProtection="1">
      <alignment vertical="center"/>
      <protection locked="0"/>
    </xf>
    <xf numFmtId="0" fontId="1" fillId="0" borderId="0" xfId="9"/>
    <xf numFmtId="0" fontId="31" fillId="0" borderId="0" xfId="9" applyFont="1" applyFill="1" applyBorder="1" applyAlignment="1"/>
    <xf numFmtId="0" fontId="5" fillId="0" borderId="0" xfId="9" applyFont="1" applyBorder="1" applyAlignment="1" applyProtection="1">
      <alignment vertical="center"/>
      <protection locked="0"/>
    </xf>
    <xf numFmtId="0" fontId="33" fillId="0" borderId="0" xfId="9" applyFont="1" applyFill="1" applyBorder="1" applyAlignment="1"/>
    <xf numFmtId="0" fontId="29" fillId="0" borderId="0" xfId="9" applyFont="1" applyFill="1" applyBorder="1" applyAlignment="1"/>
    <xf numFmtId="0" fontId="2" fillId="0" borderId="32" xfId="9" applyFont="1" applyBorder="1" applyProtection="1">
      <protection locked="0"/>
    </xf>
    <xf numFmtId="0" fontId="2" fillId="0" borderId="0" xfId="9" applyFont="1" applyBorder="1" applyProtection="1">
      <protection locked="0"/>
    </xf>
    <xf numFmtId="0" fontId="2" fillId="0" borderId="33" xfId="9" applyFont="1" applyBorder="1" applyProtection="1">
      <protection locked="0"/>
    </xf>
    <xf numFmtId="0" fontId="5" fillId="0" borderId="19" xfId="9" applyFont="1" applyBorder="1" applyAlignment="1" applyProtection="1">
      <alignment vertical="center"/>
      <protection locked="0"/>
    </xf>
    <xf numFmtId="0" fontId="5" fillId="0" borderId="1" xfId="9" applyFont="1" applyBorder="1" applyAlignment="1" applyProtection="1">
      <alignment horizontal="center" vertical="center"/>
      <protection locked="0"/>
    </xf>
    <xf numFmtId="0" fontId="5" fillId="4" borderId="1" xfId="9" applyFont="1" applyFill="1" applyBorder="1" applyAlignment="1" applyProtection="1">
      <alignment horizontal="center" vertical="center"/>
      <protection locked="0"/>
    </xf>
    <xf numFmtId="0" fontId="5" fillId="4" borderId="18" xfId="9" applyFont="1" applyFill="1" applyBorder="1" applyAlignment="1" applyProtection="1">
      <alignment vertical="center"/>
      <protection locked="0"/>
    </xf>
    <xf numFmtId="0" fontId="22" fillId="4" borderId="19" xfId="9" applyFont="1" applyFill="1" applyBorder="1" applyAlignment="1" applyProtection="1">
      <alignment horizontal="left" vertical="center"/>
      <protection locked="0"/>
    </xf>
    <xf numFmtId="0" fontId="22" fillId="4" borderId="1" xfId="9" applyFont="1" applyFill="1" applyBorder="1" applyAlignment="1" applyProtection="1">
      <alignment vertical="center"/>
      <protection locked="0"/>
    </xf>
    <xf numFmtId="10" fontId="22" fillId="4" borderId="18" xfId="10" applyNumberFormat="1" applyFont="1" applyFill="1" applyBorder="1" applyAlignment="1" applyProtection="1">
      <alignment vertical="center"/>
      <protection locked="0"/>
    </xf>
    <xf numFmtId="0" fontId="22" fillId="0" borderId="19" xfId="9" applyFont="1" applyBorder="1" applyAlignment="1" applyProtection="1">
      <alignment horizontal="left" vertical="center"/>
      <protection locked="0"/>
    </xf>
    <xf numFmtId="0" fontId="22" fillId="0" borderId="1" xfId="9" applyFont="1" applyBorder="1" applyAlignment="1" applyProtection="1">
      <alignment vertical="center"/>
      <protection locked="0"/>
    </xf>
    <xf numFmtId="10" fontId="22" fillId="0" borderId="18" xfId="10" applyNumberFormat="1" applyFont="1" applyBorder="1" applyAlignment="1" applyProtection="1">
      <alignment vertical="center"/>
    </xf>
    <xf numFmtId="0" fontId="1" fillId="0" borderId="0" xfId="9" applyFill="1"/>
    <xf numFmtId="10" fontId="1" fillId="0" borderId="0" xfId="9" applyNumberFormat="1"/>
    <xf numFmtId="0" fontId="22" fillId="0" borderId="32" xfId="9" applyFont="1" applyBorder="1" applyAlignment="1" applyProtection="1">
      <alignment vertical="center"/>
      <protection locked="0"/>
    </xf>
    <xf numFmtId="0" fontId="5" fillId="0" borderId="0" xfId="9" applyFont="1" applyBorder="1" applyAlignment="1" applyProtection="1">
      <alignment horizontal="center" vertical="center"/>
      <protection locked="0"/>
    </xf>
    <xf numFmtId="0" fontId="22" fillId="0" borderId="42" xfId="9" applyFont="1" applyBorder="1" applyAlignment="1" applyProtection="1">
      <alignment vertical="center"/>
      <protection locked="0"/>
    </xf>
    <xf numFmtId="10" fontId="22" fillId="0" borderId="33" xfId="10" applyNumberFormat="1" applyFont="1" applyBorder="1" applyAlignment="1" applyProtection="1">
      <alignment vertical="center"/>
    </xf>
    <xf numFmtId="0" fontId="22" fillId="0" borderId="12" xfId="9" applyFont="1" applyBorder="1" applyAlignment="1" applyProtection="1">
      <alignment vertical="center"/>
      <protection locked="0"/>
    </xf>
    <xf numFmtId="0" fontId="5" fillId="0" borderId="8" xfId="9" applyFont="1" applyBorder="1" applyAlignment="1" applyProtection="1">
      <alignment vertical="center"/>
      <protection locked="0"/>
    </xf>
    <xf numFmtId="0" fontId="5" fillId="0" borderId="9" xfId="9" applyFont="1" applyBorder="1" applyAlignment="1" applyProtection="1">
      <alignment horizontal="center" vertical="center"/>
      <protection locked="0"/>
    </xf>
    <xf numFmtId="10" fontId="5" fillId="0" borderId="13" xfId="10" applyNumberFormat="1" applyFont="1" applyBorder="1" applyAlignment="1" applyProtection="1">
      <alignment horizontal="right" vertical="center"/>
    </xf>
    <xf numFmtId="10" fontId="5" fillId="0" borderId="33" xfId="10" applyNumberFormat="1" applyFont="1" applyBorder="1" applyAlignment="1" applyProtection="1">
      <alignment horizontal="right" vertical="center"/>
    </xf>
    <xf numFmtId="0" fontId="1" fillId="0" borderId="0" xfId="9" applyFill="1" applyBorder="1"/>
    <xf numFmtId="0" fontId="22" fillId="4" borderId="32" xfId="9" applyFont="1" applyFill="1" applyBorder="1" applyAlignment="1" applyProtection="1">
      <alignment vertical="center"/>
      <protection locked="0"/>
    </xf>
    <xf numFmtId="0" fontId="5" fillId="4" borderId="0" xfId="9" applyFont="1" applyFill="1" applyBorder="1" applyAlignment="1" applyProtection="1">
      <alignment horizontal="center" vertical="center"/>
      <protection locked="0"/>
    </xf>
    <xf numFmtId="0" fontId="22" fillId="4" borderId="0" xfId="9" applyFont="1" applyFill="1" applyBorder="1" applyAlignment="1" applyProtection="1">
      <alignment vertical="center"/>
      <protection locked="0"/>
    </xf>
    <xf numFmtId="0" fontId="22" fillId="4" borderId="33" xfId="9" applyFont="1" applyFill="1" applyBorder="1" applyAlignment="1" applyProtection="1">
      <alignment vertical="center"/>
      <protection locked="0"/>
    </xf>
    <xf numFmtId="0" fontId="1" fillId="0" borderId="0" xfId="9" applyFill="1" applyBorder="1" applyAlignment="1"/>
    <xf numFmtId="0" fontId="22" fillId="0" borderId="39" xfId="9" applyFont="1" applyBorder="1" applyAlignment="1" applyProtection="1">
      <alignment vertical="center"/>
      <protection locked="0"/>
    </xf>
    <xf numFmtId="0" fontId="22" fillId="0" borderId="40" xfId="9" applyFont="1" applyBorder="1" applyAlignment="1" applyProtection="1">
      <alignment vertical="center"/>
      <protection locked="0"/>
    </xf>
    <xf numFmtId="0" fontId="22" fillId="0" borderId="40" xfId="9" applyFont="1" applyBorder="1" applyAlignment="1" applyProtection="1">
      <alignment horizontal="right" vertical="center"/>
      <protection locked="0"/>
    </xf>
    <xf numFmtId="10" fontId="5" fillId="4" borderId="18" xfId="10" applyNumberFormat="1" applyFont="1" applyFill="1" applyBorder="1" applyAlignment="1" applyProtection="1">
      <alignment vertical="center"/>
    </xf>
    <xf numFmtId="10" fontId="5" fillId="4" borderId="33" xfId="10" applyNumberFormat="1" applyFont="1" applyFill="1" applyBorder="1" applyAlignment="1" applyProtection="1">
      <alignment vertical="center"/>
    </xf>
    <xf numFmtId="0" fontId="5" fillId="4" borderId="32" xfId="9" applyFont="1" applyFill="1" applyBorder="1" applyAlignment="1" applyProtection="1">
      <alignment vertical="center"/>
      <protection locked="0"/>
    </xf>
    <xf numFmtId="0" fontId="22" fillId="4" borderId="0" xfId="9" applyFont="1" applyFill="1" applyBorder="1" applyAlignment="1" applyProtection="1">
      <alignment horizontal="left" vertical="center"/>
      <protection locked="0"/>
    </xf>
    <xf numFmtId="10" fontId="5" fillId="4" borderId="33" xfId="9" applyNumberFormat="1" applyFont="1" applyFill="1" applyBorder="1" applyAlignment="1" applyProtection="1">
      <alignment vertical="center"/>
      <protection locked="0"/>
    </xf>
    <xf numFmtId="0" fontId="2" fillId="4" borderId="32" xfId="9" applyFont="1" applyFill="1" applyBorder="1" applyProtection="1">
      <protection locked="0"/>
    </xf>
    <xf numFmtId="0" fontId="2" fillId="4" borderId="0" xfId="9" applyFont="1" applyFill="1" applyBorder="1" applyProtection="1">
      <protection locked="0"/>
    </xf>
    <xf numFmtId="0" fontId="2" fillId="4" borderId="0" xfId="9" applyFont="1" applyFill="1" applyBorder="1" applyAlignment="1" applyProtection="1">
      <alignment horizontal="center"/>
      <protection locked="0"/>
    </xf>
    <xf numFmtId="10" fontId="2" fillId="4" borderId="33" xfId="9" applyNumberFormat="1" applyFont="1" applyFill="1" applyBorder="1" applyAlignment="1" applyProtection="1">
      <alignment vertical="center"/>
      <protection locked="0"/>
    </xf>
    <xf numFmtId="0" fontId="2" fillId="4" borderId="0" xfId="9" applyFont="1" applyFill="1" applyBorder="1" applyAlignment="1" applyProtection="1">
      <alignment horizontal="center" vertical="top"/>
      <protection locked="0"/>
    </xf>
    <xf numFmtId="0" fontId="2" fillId="4" borderId="33" xfId="9" applyFont="1" applyFill="1" applyBorder="1" applyAlignment="1" applyProtection="1">
      <alignment vertical="center"/>
      <protection locked="0"/>
    </xf>
    <xf numFmtId="0" fontId="2" fillId="4" borderId="0" xfId="9" applyFont="1" applyFill="1" applyBorder="1" applyAlignment="1" applyProtection="1">
      <alignment horizontal="center" vertical="center" wrapText="1"/>
      <protection locked="0"/>
    </xf>
    <xf numFmtId="0" fontId="4" fillId="4" borderId="33" xfId="9" applyFont="1" applyFill="1" applyBorder="1" applyAlignment="1" applyProtection="1">
      <alignment horizontal="center" vertical="center" wrapText="1"/>
      <protection locked="0"/>
    </xf>
    <xf numFmtId="0" fontId="2" fillId="0" borderId="0" xfId="9" quotePrefix="1" applyFont="1" applyBorder="1" applyProtection="1">
      <protection locked="0"/>
    </xf>
    <xf numFmtId="0" fontId="2" fillId="0" borderId="24" xfId="9" applyFont="1" applyBorder="1" applyProtection="1">
      <protection locked="0"/>
    </xf>
    <xf numFmtId="0" fontId="2" fillId="0" borderId="25" xfId="9" applyFont="1" applyBorder="1" applyProtection="1">
      <protection locked="0"/>
    </xf>
    <xf numFmtId="0" fontId="2" fillId="0" borderId="26" xfId="9" applyFont="1" applyBorder="1" applyProtection="1">
      <protection locked="0"/>
    </xf>
    <xf numFmtId="0" fontId="0" fillId="0" borderId="1" xfId="0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165" fontId="0" fillId="0" borderId="1" xfId="3" applyFont="1" applyBorder="1" applyAlignment="1">
      <alignment vertical="center"/>
    </xf>
    <xf numFmtId="165" fontId="4" fillId="0" borderId="1" xfId="3" applyFont="1" applyBorder="1" applyAlignment="1">
      <alignment vertical="center"/>
    </xf>
    <xf numFmtId="1" fontId="4" fillId="0" borderId="1" xfId="3" applyNumberFormat="1" applyFont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169" fontId="0" fillId="0" borderId="0" xfId="3" applyNumberFormat="1" applyFont="1" applyAlignment="1">
      <alignment vertical="center"/>
    </xf>
    <xf numFmtId="165" fontId="7" fillId="0" borderId="0" xfId="3" applyFont="1" applyBorder="1" applyAlignment="1">
      <alignment horizontal="center" vertical="center"/>
    </xf>
    <xf numFmtId="0" fontId="23" fillId="7" borderId="2" xfId="0" applyFont="1" applyFill="1" applyBorder="1" applyAlignment="1">
      <alignment vertical="center" wrapText="1"/>
    </xf>
    <xf numFmtId="13" fontId="7" fillId="7" borderId="2" xfId="0" applyNumberFormat="1" applyFont="1" applyFill="1" applyBorder="1" applyAlignment="1">
      <alignment horizontal="center" vertical="center"/>
    </xf>
    <xf numFmtId="165" fontId="2" fillId="7" borderId="2" xfId="3" applyFont="1" applyFill="1" applyBorder="1" applyAlignment="1">
      <alignment horizontal="center" vertical="center"/>
    </xf>
    <xf numFmtId="0" fontId="23" fillId="0" borderId="1" xfId="0" applyFont="1" applyBorder="1" applyAlignment="1">
      <alignment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24" fillId="0" borderId="1" xfId="0" applyFont="1" applyBorder="1"/>
    <xf numFmtId="165" fontId="2" fillId="0" borderId="1" xfId="3" applyFont="1" applyBorder="1" applyAlignment="1">
      <alignment horizontal="right" vertical="center"/>
    </xf>
    <xf numFmtId="165" fontId="4" fillId="0" borderId="12" xfId="3" applyFont="1" applyBorder="1" applyAlignment="1">
      <alignment horizontal="left" vertical="center"/>
    </xf>
    <xf numFmtId="0" fontId="22" fillId="0" borderId="0" xfId="0" applyFont="1" applyFill="1" applyBorder="1" applyAlignment="1">
      <alignment horizontal="center" vertical="center"/>
    </xf>
    <xf numFmtId="165" fontId="5" fillId="0" borderId="1" xfId="1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22" fillId="0" borderId="1" xfId="11" applyNumberFormat="1" applyFont="1" applyFill="1" applyBorder="1" applyAlignment="1">
      <alignment horizontal="center" vertical="center"/>
    </xf>
    <xf numFmtId="170" fontId="22" fillId="0" borderId="1" xfId="12" applyNumberFormat="1" applyFont="1" applyFill="1" applyBorder="1" applyAlignment="1">
      <alignment horizontal="center" vertical="center"/>
    </xf>
    <xf numFmtId="10" fontId="22" fillId="0" borderId="1" xfId="13" applyNumberFormat="1" applyFont="1" applyFill="1" applyBorder="1" applyAlignment="1">
      <alignment horizontal="center" vertical="center"/>
    </xf>
    <xf numFmtId="170" fontId="0" fillId="0" borderId="0" xfId="12" applyFont="1" applyFill="1" applyBorder="1" applyAlignment="1">
      <alignment horizontal="center" vertical="center"/>
    </xf>
    <xf numFmtId="10" fontId="0" fillId="0" borderId="0" xfId="13" applyNumberFormat="1" applyFont="1" applyFill="1" applyBorder="1" applyAlignment="1">
      <alignment horizontal="center" vertical="center"/>
    </xf>
    <xf numFmtId="0" fontId="22" fillId="0" borderId="0" xfId="0" applyFont="1"/>
    <xf numFmtId="0" fontId="22" fillId="0" borderId="1" xfId="0" applyFont="1" applyBorder="1" applyAlignment="1">
      <alignment horizontal="center"/>
    </xf>
    <xf numFmtId="170" fontId="22" fillId="0" borderId="1" xfId="0" applyNumberFormat="1" applyFont="1" applyBorder="1"/>
    <xf numFmtId="9" fontId="22" fillId="0" borderId="1" xfId="13" applyFont="1" applyBorder="1" applyAlignment="1">
      <alignment horizontal="center"/>
    </xf>
    <xf numFmtId="165" fontId="38" fillId="0" borderId="1" xfId="3" applyFont="1" applyBorder="1" applyAlignment="1">
      <alignment horizontal="right" vertical="top"/>
    </xf>
    <xf numFmtId="0" fontId="0" fillId="0" borderId="1" xfId="0" applyBorder="1"/>
    <xf numFmtId="0" fontId="2" fillId="0" borderId="1" xfId="0" applyFont="1" applyBorder="1"/>
    <xf numFmtId="16" fontId="2" fillId="0" borderId="1" xfId="0" applyNumberFormat="1" applyFont="1" applyBorder="1"/>
    <xf numFmtId="16" fontId="0" fillId="0" borderId="1" xfId="0" applyNumberFormat="1" applyBorder="1"/>
    <xf numFmtId="4" fontId="4" fillId="0" borderId="0" xfId="0" applyNumberFormat="1" applyFont="1" applyAlignment="1">
      <alignment vertical="center"/>
    </xf>
    <xf numFmtId="167" fontId="0" fillId="0" borderId="0" xfId="3" applyNumberFormat="1" applyFont="1" applyAlignment="1">
      <alignment vertical="center"/>
    </xf>
    <xf numFmtId="10" fontId="0" fillId="0" borderId="0" xfId="0" applyNumberFormat="1" applyAlignment="1">
      <alignment vertical="center"/>
    </xf>
    <xf numFmtId="0" fontId="34" fillId="10" borderId="0" xfId="0" applyFont="1" applyFill="1" applyBorder="1" applyAlignment="1"/>
    <xf numFmtId="0" fontId="35" fillId="10" borderId="0" xfId="0" applyFont="1" applyFill="1" applyBorder="1" applyAlignment="1"/>
    <xf numFmtId="165" fontId="0" fillId="0" borderId="0" xfId="3" applyFont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34" fillId="10" borderId="1" xfId="0" applyFont="1" applyFill="1" applyBorder="1" applyAlignment="1">
      <alignment horizontal="center"/>
    </xf>
    <xf numFmtId="0" fontId="35" fillId="10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165" fontId="4" fillId="0" borderId="12" xfId="3" applyFont="1" applyBorder="1" applyAlignment="1">
      <alignment horizontal="left" vertical="center"/>
    </xf>
    <xf numFmtId="165" fontId="4" fillId="0" borderId="8" xfId="3" applyFont="1" applyBorder="1" applyAlignment="1">
      <alignment horizontal="left" vertical="center"/>
    </xf>
    <xf numFmtId="0" fontId="8" fillId="7" borderId="1" xfId="0" applyFont="1" applyFill="1" applyBorder="1" applyAlignment="1">
      <alignment horizontal="center" vertical="center"/>
    </xf>
    <xf numFmtId="165" fontId="4" fillId="0" borderId="21" xfId="3" applyFont="1" applyBorder="1" applyAlignment="1">
      <alignment horizontal="center" vertical="center"/>
    </xf>
    <xf numFmtId="165" fontId="4" fillId="0" borderId="22" xfId="3" applyFont="1" applyBorder="1" applyAlignment="1">
      <alignment horizontal="center" vertical="center"/>
    </xf>
    <xf numFmtId="165" fontId="4" fillId="0" borderId="43" xfId="3" applyFont="1" applyBorder="1" applyAlignment="1">
      <alignment horizontal="center" vertical="center"/>
    </xf>
    <xf numFmtId="165" fontId="5" fillId="7" borderId="5" xfId="3" applyFont="1" applyFill="1" applyBorder="1" applyAlignment="1">
      <alignment horizontal="center" vertical="center"/>
    </xf>
    <xf numFmtId="165" fontId="5" fillId="7" borderId="6" xfId="3" applyFont="1" applyFill="1" applyBorder="1" applyAlignment="1">
      <alignment horizontal="center" vertical="center"/>
    </xf>
    <xf numFmtId="165" fontId="5" fillId="7" borderId="7" xfId="3" applyFont="1" applyFill="1" applyBorder="1" applyAlignment="1">
      <alignment horizontal="center" vertical="center"/>
    </xf>
    <xf numFmtId="165" fontId="5" fillId="7" borderId="23" xfId="3" applyFont="1" applyFill="1" applyBorder="1" applyAlignment="1">
      <alignment horizontal="center" vertical="center"/>
    </xf>
    <xf numFmtId="0" fontId="0" fillId="0" borderId="45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46" xfId="0" applyBorder="1" applyAlignment="1">
      <alignment horizontal="center"/>
    </xf>
    <xf numFmtId="0" fontId="37" fillId="0" borderId="1" xfId="0" applyFont="1" applyFill="1" applyBorder="1" applyAlignment="1">
      <alignment horizontal="left" vertical="center" wrapText="1"/>
    </xf>
    <xf numFmtId="0" fontId="35" fillId="0" borderId="1" xfId="0" applyFont="1" applyFill="1" applyBorder="1" applyAlignment="1">
      <alignment horizontal="center"/>
    </xf>
    <xf numFmtId="0" fontId="36" fillId="0" borderId="1" xfId="0" applyFont="1" applyBorder="1" applyAlignment="1">
      <alignment horizontal="center" vertical="center" wrapText="1"/>
    </xf>
    <xf numFmtId="0" fontId="0" fillId="0" borderId="44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" xfId="0" applyBorder="1" applyAlignment="1">
      <alignment horizontal="center"/>
    </xf>
    <xf numFmtId="0" fontId="34" fillId="10" borderId="47" xfId="0" applyFont="1" applyFill="1" applyBorder="1" applyAlignment="1">
      <alignment horizontal="center"/>
    </xf>
    <xf numFmtId="0" fontId="34" fillId="10" borderId="0" xfId="0" applyFont="1" applyFill="1" applyBorder="1" applyAlignment="1">
      <alignment horizontal="center"/>
    </xf>
    <xf numFmtId="0" fontId="35" fillId="10" borderId="47" xfId="0" applyFont="1" applyFill="1" applyBorder="1" applyAlignment="1">
      <alignment horizontal="center"/>
    </xf>
    <xf numFmtId="0" fontId="35" fillId="10" borderId="0" xfId="0" applyFont="1" applyFill="1" applyBorder="1" applyAlignment="1">
      <alignment horizontal="center"/>
    </xf>
    <xf numFmtId="0" fontId="37" fillId="0" borderId="47" xfId="0" applyFont="1" applyFill="1" applyBorder="1" applyAlignment="1">
      <alignment horizontal="left" vertical="center" wrapText="1"/>
    </xf>
    <xf numFmtId="0" fontId="37" fillId="0" borderId="0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2" fillId="4" borderId="12" xfId="9" applyFont="1" applyFill="1" applyBorder="1" applyAlignment="1" applyProtection="1">
      <alignment horizontal="left" vertical="center"/>
      <protection locked="0"/>
    </xf>
    <xf numFmtId="0" fontId="22" fillId="4" borderId="8" xfId="9" applyFont="1" applyFill="1" applyBorder="1" applyAlignment="1" applyProtection="1">
      <alignment horizontal="left" vertical="center"/>
      <protection locked="0"/>
    </xf>
    <xf numFmtId="0" fontId="22" fillId="4" borderId="13" xfId="9" applyFont="1" applyFill="1" applyBorder="1" applyAlignment="1" applyProtection="1">
      <alignment horizontal="left" vertical="center"/>
      <protection locked="0"/>
    </xf>
    <xf numFmtId="44" fontId="29" fillId="0" borderId="17" xfId="8" applyFont="1" applyFill="1" applyBorder="1" applyAlignment="1">
      <alignment horizontal="center"/>
    </xf>
    <xf numFmtId="44" fontId="29" fillId="0" borderId="10" xfId="8" applyFont="1" applyFill="1" applyBorder="1" applyAlignment="1">
      <alignment horizontal="center"/>
    </xf>
    <xf numFmtId="44" fontId="29" fillId="0" borderId="34" xfId="8" applyFont="1" applyFill="1" applyBorder="1" applyAlignment="1">
      <alignment horizontal="center"/>
    </xf>
    <xf numFmtId="44" fontId="31" fillId="0" borderId="19" xfId="8" applyFont="1" applyFill="1" applyBorder="1" applyAlignment="1">
      <alignment horizontal="center"/>
    </xf>
    <xf numFmtId="44" fontId="31" fillId="0" borderId="1" xfId="8" applyFont="1" applyFill="1" applyBorder="1" applyAlignment="1">
      <alignment horizontal="center"/>
    </xf>
    <xf numFmtId="44" fontId="31" fillId="0" borderId="18" xfId="8" applyFont="1" applyFill="1" applyBorder="1" applyAlignment="1">
      <alignment horizontal="center"/>
    </xf>
    <xf numFmtId="0" fontId="32" fillId="0" borderId="19" xfId="9" applyFont="1" applyFill="1" applyBorder="1" applyAlignment="1">
      <alignment horizontal="center"/>
    </xf>
    <xf numFmtId="0" fontId="32" fillId="0" borderId="1" xfId="9" applyFont="1" applyFill="1" applyBorder="1" applyAlignment="1">
      <alignment horizontal="center"/>
    </xf>
    <xf numFmtId="0" fontId="32" fillId="0" borderId="18" xfId="9" applyFont="1" applyFill="1" applyBorder="1" applyAlignment="1">
      <alignment horizontal="center"/>
    </xf>
    <xf numFmtId="0" fontId="29" fillId="0" borderId="19" xfId="9" applyFont="1" applyFill="1" applyBorder="1" applyAlignment="1">
      <alignment horizontal="center"/>
    </xf>
    <xf numFmtId="0" fontId="29" fillId="0" borderId="1" xfId="9" applyFont="1" applyFill="1" applyBorder="1" applyAlignment="1">
      <alignment horizontal="center"/>
    </xf>
    <xf numFmtId="0" fontId="29" fillId="0" borderId="18" xfId="9" applyFont="1" applyFill="1" applyBorder="1" applyAlignment="1">
      <alignment horizontal="center"/>
    </xf>
    <xf numFmtId="0" fontId="8" fillId="0" borderId="39" xfId="9" applyFont="1" applyFill="1" applyBorder="1" applyAlignment="1" applyProtection="1">
      <alignment horizontal="left" vertical="center" wrapText="1"/>
      <protection locked="0"/>
    </xf>
    <xf numFmtId="0" fontId="8" fillId="0" borderId="40" xfId="9" applyFont="1" applyFill="1" applyBorder="1" applyAlignment="1" applyProtection="1">
      <alignment horizontal="left" vertical="center" wrapText="1"/>
      <protection locked="0"/>
    </xf>
    <xf numFmtId="0" fontId="8" fillId="0" borderId="41" xfId="9" applyFont="1" applyFill="1" applyBorder="1" applyAlignment="1" applyProtection="1">
      <alignment horizontal="left" vertical="center" wrapText="1"/>
      <protection locked="0"/>
    </xf>
    <xf numFmtId="0" fontId="4" fillId="0" borderId="32" xfId="9" applyFont="1" applyBorder="1" applyAlignment="1" applyProtection="1">
      <alignment horizontal="center" vertical="center"/>
      <protection locked="0"/>
    </xf>
    <xf numFmtId="0" fontId="4" fillId="0" borderId="0" xfId="9" applyFont="1" applyBorder="1" applyAlignment="1" applyProtection="1">
      <alignment horizontal="center" vertical="center"/>
      <protection locked="0"/>
    </xf>
    <xf numFmtId="0" fontId="4" fillId="0" borderId="33" xfId="9" applyFont="1" applyBorder="1" applyAlignment="1" applyProtection="1">
      <alignment horizontal="center" vertical="center"/>
      <protection locked="0"/>
    </xf>
    <xf numFmtId="0" fontId="5" fillId="8" borderId="5" xfId="0" applyFont="1" applyFill="1" applyBorder="1" applyAlignment="1">
      <alignment horizontal="center" vertical="center"/>
    </xf>
    <xf numFmtId="0" fontId="5" fillId="8" borderId="6" xfId="0" applyFont="1" applyFill="1" applyBorder="1" applyAlignment="1">
      <alignment horizontal="center" vertical="center"/>
    </xf>
  </cellXfs>
  <cellStyles count="14">
    <cellStyle name="Hiperlink" xfId="1" builtinId="8"/>
    <cellStyle name="Moeda" xfId="6" builtinId="4"/>
    <cellStyle name="Moeda 2" xfId="8"/>
    <cellStyle name="Moeda 3" xfId="12"/>
    <cellStyle name="Normal" xfId="0" builtinId="0"/>
    <cellStyle name="Normal 2" xfId="4"/>
    <cellStyle name="Normal 3" xfId="9"/>
    <cellStyle name="Normal_Pesquisa no referencial 10 de maio de 2013" xfId="7"/>
    <cellStyle name="Porcentagem" xfId="2" builtinId="5"/>
    <cellStyle name="Porcentagem 2" xfId="10"/>
    <cellStyle name="Porcentagem 3" xfId="13"/>
    <cellStyle name="Vírgula" xfId="3" builtinId="3"/>
    <cellStyle name="Vírgula 2" xfId="5"/>
    <cellStyle name="Vírgula 3" xfId="11"/>
  </cellStyles>
  <dxfs count="2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10</xdr:col>
      <xdr:colOff>2868</xdr:colOff>
      <xdr:row>47</xdr:row>
      <xdr:rowOff>142875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098868" cy="775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23</xdr:row>
      <xdr:rowOff>114300</xdr:rowOff>
    </xdr:from>
    <xdr:to>
      <xdr:col>2</xdr:col>
      <xdr:colOff>1924050</xdr:colOff>
      <xdr:row>25</xdr:row>
      <xdr:rowOff>85725</xdr:rowOff>
    </xdr:to>
    <xdr:pic>
      <xdr:nvPicPr>
        <xdr:cNvPr id="2" name="Picture 38">
          <a:extLst>
            <a:ext uri="{FF2B5EF4-FFF2-40B4-BE49-F238E27FC236}">
              <a16:creationId xmlns:a16="http://schemas.microsoft.com/office/drawing/2014/main" xmlns="" id="{EA98EE42-D95F-4229-BFDB-1EA0F14A25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6143625"/>
          <a:ext cx="29527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4</xdr:row>
      <xdr:rowOff>28575</xdr:rowOff>
    </xdr:from>
    <xdr:to>
      <xdr:col>0</xdr:col>
      <xdr:colOff>1419225</xdr:colOff>
      <xdr:row>6</xdr:row>
      <xdr:rowOff>66675</xdr:rowOff>
    </xdr:to>
    <xdr:pic>
      <xdr:nvPicPr>
        <xdr:cNvPr id="650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419100"/>
          <a:ext cx="12858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85725</xdr:colOff>
      <xdr:row>7</xdr:row>
      <xdr:rowOff>9525</xdr:rowOff>
    </xdr:from>
    <xdr:to>
      <xdr:col>0</xdr:col>
      <xdr:colOff>2124075</xdr:colOff>
      <xdr:row>9</xdr:row>
      <xdr:rowOff>57150</xdr:rowOff>
    </xdr:to>
    <xdr:pic>
      <xdr:nvPicPr>
        <xdr:cNvPr id="6507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5" y="885825"/>
          <a:ext cx="2038350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537"/>
  <sheetViews>
    <sheetView tabSelected="1" view="pageBreakPreview" topLeftCell="A487" zoomScaleNormal="100" zoomScaleSheetLayoutView="100" workbookViewId="0">
      <selection activeCell="J341" sqref="J341"/>
    </sheetView>
  </sheetViews>
  <sheetFormatPr defaultRowHeight="12.75" x14ac:dyDescent="0.2"/>
  <cols>
    <col min="1" max="1" width="48.42578125" style="7" customWidth="1"/>
    <col min="2" max="2" width="16" style="7" bestFit="1" customWidth="1"/>
    <col min="3" max="3" width="11.85546875" style="7" customWidth="1"/>
    <col min="4" max="4" width="14.7109375" style="8" customWidth="1"/>
    <col min="5" max="5" width="15.42578125" style="8" customWidth="1"/>
    <col min="6" max="6" width="20.85546875" style="8" customWidth="1"/>
    <col min="7" max="7" width="28.140625" style="8" hidden="1" customWidth="1"/>
    <col min="8" max="8" width="10.140625" style="7" hidden="1" customWidth="1"/>
    <col min="9" max="9" width="14.5703125" style="7" customWidth="1"/>
    <col min="10" max="10" width="13.42578125" style="7" customWidth="1"/>
    <col min="11" max="16384" width="9.140625" style="7"/>
  </cols>
  <sheetData>
    <row r="1" spans="1:9" ht="23.25" x14ac:dyDescent="0.35">
      <c r="A1" s="267" t="s">
        <v>211</v>
      </c>
      <c r="B1" s="267"/>
      <c r="C1" s="267"/>
      <c r="D1" s="267"/>
      <c r="E1" s="267"/>
      <c r="F1" s="267"/>
      <c r="G1" s="262"/>
    </row>
    <row r="2" spans="1:9" ht="23.25" x14ac:dyDescent="0.35">
      <c r="A2" s="268" t="s">
        <v>212</v>
      </c>
      <c r="B2" s="268"/>
      <c r="C2" s="268"/>
      <c r="D2" s="268"/>
      <c r="E2" s="268"/>
      <c r="F2" s="268"/>
      <c r="G2" s="263"/>
    </row>
    <row r="3" spans="1:9" x14ac:dyDescent="0.2">
      <c r="A3" s="230"/>
      <c r="B3" s="230"/>
      <c r="C3" s="230"/>
      <c r="D3" s="230"/>
      <c r="E3" s="230"/>
      <c r="F3" s="230"/>
      <c r="G3" s="52"/>
    </row>
    <row r="4" spans="1:9" s="2" customFormat="1" ht="15.6" customHeight="1" x14ac:dyDescent="0.2">
      <c r="A4" s="145"/>
      <c r="B4" s="104"/>
      <c r="C4" s="104"/>
      <c r="D4" s="104"/>
      <c r="E4" s="104"/>
      <c r="F4" s="104"/>
      <c r="G4" s="264"/>
    </row>
    <row r="5" spans="1:9" s="2" customFormat="1" ht="15.6" customHeight="1" x14ac:dyDescent="0.2">
      <c r="A5" s="265" t="s">
        <v>214</v>
      </c>
      <c r="B5" s="266"/>
      <c r="C5" s="266"/>
      <c r="D5" s="266"/>
      <c r="E5" s="266"/>
      <c r="F5" s="266"/>
      <c r="G5" s="264"/>
    </row>
    <row r="6" spans="1:9" s="2" customFormat="1" ht="15.6" customHeight="1" x14ac:dyDescent="0.2">
      <c r="A6" s="266"/>
      <c r="B6" s="266"/>
      <c r="C6" s="266"/>
      <c r="D6" s="266"/>
      <c r="E6" s="266"/>
      <c r="F6" s="266"/>
      <c r="G6" s="4"/>
    </row>
    <row r="7" spans="1:9" s="2" customFormat="1" ht="15.6" customHeight="1" x14ac:dyDescent="0.2">
      <c r="A7" s="266"/>
      <c r="B7" s="266"/>
      <c r="C7" s="266"/>
      <c r="D7" s="266"/>
      <c r="E7" s="266"/>
      <c r="F7" s="266"/>
      <c r="G7" s="4"/>
    </row>
    <row r="8" spans="1:9" s="2" customFormat="1" ht="16.5" customHeight="1" x14ac:dyDescent="0.2">
      <c r="A8" s="5"/>
      <c r="B8" s="3"/>
      <c r="C8" s="3"/>
      <c r="D8" s="4"/>
      <c r="E8" s="4"/>
      <c r="F8" s="4"/>
      <c r="G8" s="4"/>
    </row>
    <row r="9" spans="1:9" s="6" customFormat="1" ht="21.75" customHeight="1" x14ac:dyDescent="0.2">
      <c r="A9" s="272" t="s">
        <v>34</v>
      </c>
      <c r="B9" s="272"/>
      <c r="C9" s="272"/>
      <c r="D9" s="272"/>
      <c r="E9" s="272"/>
      <c r="F9" s="272"/>
      <c r="G9" s="34"/>
    </row>
    <row r="10" spans="1:9" s="2" customFormat="1" ht="10.9" customHeight="1" thickBot="1" x14ac:dyDescent="0.25">
      <c r="A10" s="109"/>
      <c r="B10" s="110"/>
      <c r="C10" s="110"/>
      <c r="D10" s="111"/>
      <c r="E10" s="111"/>
      <c r="F10" s="112"/>
      <c r="G10" s="4"/>
    </row>
    <row r="11" spans="1:9" s="2" customFormat="1" ht="15.75" customHeight="1" thickBot="1" x14ac:dyDescent="0.25">
      <c r="A11" s="276" t="s">
        <v>99</v>
      </c>
      <c r="B11" s="277"/>
      <c r="C11" s="277"/>
      <c r="D11" s="277"/>
      <c r="E11" s="277"/>
      <c r="F11" s="278"/>
      <c r="G11" s="4"/>
    </row>
    <row r="12" spans="1:9" s="2" customFormat="1" ht="15.75" customHeight="1" x14ac:dyDescent="0.2">
      <c r="A12" s="57" t="s">
        <v>98</v>
      </c>
      <c r="B12" s="36"/>
      <c r="C12" s="36"/>
      <c r="D12" s="126"/>
      <c r="E12" s="87" t="s">
        <v>31</v>
      </c>
      <c r="F12" s="37" t="s">
        <v>1</v>
      </c>
      <c r="G12" s="4"/>
    </row>
    <row r="13" spans="1:9" s="9" customFormat="1" ht="15.75" customHeight="1" x14ac:dyDescent="0.2">
      <c r="A13" s="95" t="str">
        <f>A72</f>
        <v>1. Mão-de-obra</v>
      </c>
      <c r="B13" s="96"/>
      <c r="C13" s="97"/>
      <c r="D13" s="97"/>
      <c r="E13" s="123">
        <f>+F207</f>
        <v>64511.557729278065</v>
      </c>
      <c r="F13" s="98">
        <f t="shared" ref="F13:F48" si="0">IFERROR(E13/$E$49,0)</f>
        <v>0.40172216224350005</v>
      </c>
      <c r="G13" s="40"/>
      <c r="I13" s="259"/>
    </row>
    <row r="14" spans="1:9" s="2" customFormat="1" ht="15.75" customHeight="1" x14ac:dyDescent="0.2">
      <c r="A14" s="44" t="str">
        <f>A74</f>
        <v>1.1. Eletricista Turno dia</v>
      </c>
      <c r="B14" s="41"/>
      <c r="C14" s="43"/>
      <c r="D14" s="43"/>
      <c r="E14" s="124">
        <f>F85</f>
        <v>23078.208344277271</v>
      </c>
      <c r="F14" s="51">
        <f t="shared" si="0"/>
        <v>0.14371111290902014</v>
      </c>
      <c r="G14" s="231"/>
    </row>
    <row r="15" spans="1:9" s="2" customFormat="1" ht="15.75" customHeight="1" x14ac:dyDescent="0.2">
      <c r="A15" s="44" t="str">
        <f>A87</f>
        <v>1.2. Eletricista Turno noite</v>
      </c>
      <c r="B15" s="41"/>
      <c r="C15" s="43"/>
      <c r="D15" s="43"/>
      <c r="E15" s="124">
        <f>F104</f>
        <v>1932.002064333715</v>
      </c>
      <c r="F15" s="51">
        <f t="shared" si="0"/>
        <v>1.203083717184535E-2</v>
      </c>
      <c r="G15" s="260"/>
    </row>
    <row r="16" spans="1:9" s="2" customFormat="1" ht="15.75" customHeight="1" x14ac:dyDescent="0.2">
      <c r="A16" s="44" t="str">
        <f>A106</f>
        <v>1.3. Motorista Turno Dia</v>
      </c>
      <c r="B16" s="41"/>
      <c r="C16" s="43"/>
      <c r="D16" s="43"/>
      <c r="E16" s="124">
        <f>F119</f>
        <v>12341.90352821192</v>
      </c>
      <c r="F16" s="51">
        <f t="shared" si="0"/>
        <v>7.6854696213664947E-2</v>
      </c>
      <c r="G16" s="4"/>
    </row>
    <row r="17" spans="1:9" s="2" customFormat="1" ht="15.75" customHeight="1" x14ac:dyDescent="0.2">
      <c r="A17" s="44" t="str">
        <f>A121</f>
        <v>1.4. Motorista Turno Noite</v>
      </c>
      <c r="B17" s="41"/>
      <c r="C17" s="43"/>
      <c r="D17" s="43"/>
      <c r="E17" s="124">
        <f>F140</f>
        <v>1347.0656509920152</v>
      </c>
      <c r="F17" s="51">
        <f t="shared" si="0"/>
        <v>8.3883593118518895E-3</v>
      </c>
      <c r="G17" s="4"/>
    </row>
    <row r="18" spans="1:9" s="2" customFormat="1" ht="15.75" customHeight="1" x14ac:dyDescent="0.2">
      <c r="A18" s="44" t="str">
        <f>A142</f>
        <v>1.5. Eletrotécnico Turno dia</v>
      </c>
      <c r="B18" s="41"/>
      <c r="C18" s="43"/>
      <c r="D18" s="43"/>
      <c r="E18" s="124">
        <f>F153</f>
        <v>8270.5333125467769</v>
      </c>
      <c r="F18" s="51">
        <f t="shared" si="0"/>
        <v>5.1501725305810084E-2</v>
      </c>
      <c r="G18" s="4"/>
    </row>
    <row r="19" spans="1:9" s="2" customFormat="1" ht="15.75" customHeight="1" x14ac:dyDescent="0.2">
      <c r="A19" s="44" t="str">
        <f>A156</f>
        <v>1.6. Auxiliar de eletricista Turno dia</v>
      </c>
      <c r="B19" s="41"/>
      <c r="C19" s="43"/>
      <c r="D19" s="43"/>
      <c r="E19" s="124">
        <f>F167</f>
        <v>4491.6766701471406</v>
      </c>
      <c r="F19" s="51">
        <f t="shared" si="0"/>
        <v>2.7970275831849557E-2</v>
      </c>
      <c r="G19" s="4"/>
    </row>
    <row r="20" spans="1:9" s="2" customFormat="1" ht="15.75" customHeight="1" x14ac:dyDescent="0.2">
      <c r="A20" s="44" t="str">
        <f>A169</f>
        <v>1.7. Eng Eletricista</v>
      </c>
      <c r="B20" s="41"/>
      <c r="C20" s="43"/>
      <c r="D20" s="43"/>
      <c r="E20" s="124">
        <f>F180</f>
        <v>4876.7007432</v>
      </c>
      <c r="F20" s="51">
        <f t="shared" si="0"/>
        <v>3.036787261275006E-2</v>
      </c>
      <c r="G20" s="4"/>
    </row>
    <row r="21" spans="1:9" s="2" customFormat="1" ht="15.75" customHeight="1" x14ac:dyDescent="0.2">
      <c r="A21" s="44" t="str">
        <f>A182</f>
        <v>1.8. Eng seg trabalho</v>
      </c>
      <c r="B21" s="41"/>
      <c r="C21" s="43"/>
      <c r="D21" s="43"/>
      <c r="E21" s="124">
        <f>F193</f>
        <v>3775.9909847999998</v>
      </c>
      <c r="F21" s="51">
        <f t="shared" si="0"/>
        <v>2.3513604637969952E-2</v>
      </c>
      <c r="G21" s="4"/>
    </row>
    <row r="22" spans="1:9" s="2" customFormat="1" ht="15.75" customHeight="1" x14ac:dyDescent="0.2">
      <c r="A22" s="44" t="str">
        <f>A194</f>
        <v>1.9. Vale Transporte</v>
      </c>
      <c r="B22" s="41"/>
      <c r="C22" s="43"/>
      <c r="D22" s="43"/>
      <c r="E22" s="124">
        <f>F199</f>
        <v>726.16043076923074</v>
      </c>
      <c r="F22" s="51">
        <f t="shared" si="0"/>
        <v>4.5218988449862579E-3</v>
      </c>
      <c r="G22" s="4"/>
    </row>
    <row r="23" spans="1:9" s="2" customFormat="1" ht="15.75" customHeight="1" x14ac:dyDescent="0.2">
      <c r="A23" s="44" t="str">
        <f>A200</f>
        <v>1.10. Vale-refeição (diário)</v>
      </c>
      <c r="B23" s="41"/>
      <c r="C23" s="43"/>
      <c r="D23" s="43"/>
      <c r="E23" s="124">
        <f>F205</f>
        <v>3671.3160000000003</v>
      </c>
      <c r="F23" s="51">
        <f t="shared" si="0"/>
        <v>2.286177940375185E-2</v>
      </c>
      <c r="G23" s="4"/>
    </row>
    <row r="24" spans="1:9" s="9" customFormat="1" ht="15.75" customHeight="1" x14ac:dyDescent="0.2">
      <c r="A24" s="270" t="str">
        <f>A209</f>
        <v>2. Uniformes e Equipamentos de Proteção Individual</v>
      </c>
      <c r="B24" s="271"/>
      <c r="C24" s="271"/>
      <c r="D24" s="97"/>
      <c r="E24" s="123">
        <f>F250</f>
        <v>3895.8333333333335</v>
      </c>
      <c r="F24" s="51">
        <f t="shared" si="0"/>
        <v>2.4259879089800474E-2</v>
      </c>
      <c r="G24" s="40"/>
    </row>
    <row r="25" spans="1:9" s="9" customFormat="1" ht="15.75" customHeight="1" x14ac:dyDescent="0.2">
      <c r="A25" s="102" t="str">
        <f>A252</f>
        <v>3. Veículos e Equipamentos</v>
      </c>
      <c r="B25" s="103"/>
      <c r="C25" s="97"/>
      <c r="D25" s="97"/>
      <c r="E25" s="123">
        <f>F463</f>
        <v>51875.950263116334</v>
      </c>
      <c r="F25" s="98">
        <f t="shared" si="0"/>
        <v>0.32303853203466232</v>
      </c>
      <c r="G25" s="40"/>
    </row>
    <row r="26" spans="1:9" s="2" customFormat="1" ht="15.75" customHeight="1" x14ac:dyDescent="0.2">
      <c r="A26" s="240" t="str">
        <f>A254</f>
        <v>3.1. Caminhão Cesto aéreo 12 metros</v>
      </c>
      <c r="B26" s="103"/>
      <c r="C26" s="97"/>
      <c r="D26" s="97"/>
      <c r="E26" s="123">
        <f>SUM(E27:E32)</f>
        <v>36964.965693646664</v>
      </c>
      <c r="F26" s="98">
        <f t="shared" si="0"/>
        <v>0.23018582202006174</v>
      </c>
      <c r="G26" s="4"/>
    </row>
    <row r="27" spans="1:9" s="2" customFormat="1" ht="15.75" customHeight="1" x14ac:dyDescent="0.2">
      <c r="A27" s="58" t="str">
        <f>A256</f>
        <v>3.1.1. Depreciação</v>
      </c>
      <c r="B27" s="42"/>
      <c r="C27" s="43"/>
      <c r="D27" s="43"/>
      <c r="E27" s="124">
        <f>F270</f>
        <v>8055.5843647999991</v>
      </c>
      <c r="F27" s="51">
        <f t="shared" si="0"/>
        <v>5.0163209246049653E-2</v>
      </c>
      <c r="G27" s="4"/>
    </row>
    <row r="28" spans="1:9" s="2" customFormat="1" ht="15.75" customHeight="1" x14ac:dyDescent="0.2">
      <c r="A28" s="58" t="str">
        <f>A272</f>
        <v>3.1.2. Remuneração do Capital</v>
      </c>
      <c r="B28" s="42"/>
      <c r="C28" s="43"/>
      <c r="D28" s="43"/>
      <c r="E28" s="124">
        <f>F286</f>
        <v>7731.2197788466674</v>
      </c>
      <c r="F28" s="51">
        <f t="shared" si="0"/>
        <v>4.8143347264554631E-2</v>
      </c>
      <c r="G28" s="4"/>
      <c r="I28" s="261"/>
    </row>
    <row r="29" spans="1:9" s="2" customFormat="1" ht="15.75" customHeight="1" x14ac:dyDescent="0.2">
      <c r="A29" s="58" t="str">
        <f>A288</f>
        <v>3.1.3. Impostos e Seguros</v>
      </c>
      <c r="B29" s="42"/>
      <c r="C29" s="43"/>
      <c r="D29" s="43"/>
      <c r="E29" s="124">
        <f>F294</f>
        <v>1355.8655500000002</v>
      </c>
      <c r="F29" s="51">
        <f t="shared" si="0"/>
        <v>8.4431574686697295E-3</v>
      </c>
      <c r="G29" s="4"/>
    </row>
    <row r="30" spans="1:9" s="2" customFormat="1" ht="15.75" customHeight="1" x14ac:dyDescent="0.2">
      <c r="A30" s="58" t="str">
        <f>A296</f>
        <v>3.1.4. Consumos</v>
      </c>
      <c r="B30" s="42"/>
      <c r="C30" s="43"/>
      <c r="D30" s="43"/>
      <c r="E30" s="124">
        <f>F311</f>
        <v>10387.416000000001</v>
      </c>
      <c r="F30" s="51">
        <f t="shared" si="0"/>
        <v>6.4683839028566989E-2</v>
      </c>
      <c r="G30" s="4"/>
    </row>
    <row r="31" spans="1:9" s="2" customFormat="1" ht="15.75" customHeight="1" x14ac:dyDescent="0.2">
      <c r="A31" s="58" t="str">
        <f>A313</f>
        <v>3.1.5. Manutenção</v>
      </c>
      <c r="B31" s="42"/>
      <c r="C31" s="43"/>
      <c r="D31" s="43"/>
      <c r="E31" s="124">
        <f>F316</f>
        <v>7488</v>
      </c>
      <c r="F31" s="51">
        <f t="shared" si="0"/>
        <v>4.6628784930333927E-2</v>
      </c>
      <c r="G31" s="4"/>
    </row>
    <row r="32" spans="1:9" s="2" customFormat="1" ht="15.75" customHeight="1" x14ac:dyDescent="0.2">
      <c r="A32" s="58" t="str">
        <f>A318</f>
        <v>3.1.6. Pneus</v>
      </c>
      <c r="B32" s="42"/>
      <c r="C32" s="43"/>
      <c r="D32" s="43"/>
      <c r="E32" s="124">
        <f>F325</f>
        <v>1946.88</v>
      </c>
      <c r="F32" s="51">
        <f t="shared" si="0"/>
        <v>1.2123484081886822E-2</v>
      </c>
      <c r="G32" s="4"/>
    </row>
    <row r="33" spans="1:7" s="2" customFormat="1" ht="15.75" customHeight="1" x14ac:dyDescent="0.2">
      <c r="A33" s="240" t="str">
        <f>A327</f>
        <v>3.2. Guindauto capacidade 6,2tn</v>
      </c>
      <c r="B33" s="103"/>
      <c r="C33" s="97"/>
      <c r="D33" s="97"/>
      <c r="E33" s="123">
        <f>SUM(E34:E39)</f>
        <v>4913.3883470384726</v>
      </c>
      <c r="F33" s="98">
        <f t="shared" si="0"/>
        <v>3.0596331265126318E-2</v>
      </c>
      <c r="G33" s="4"/>
    </row>
    <row r="34" spans="1:7" s="2" customFormat="1" ht="15.75" customHeight="1" x14ac:dyDescent="0.2">
      <c r="A34" s="58" t="str">
        <f>A329</f>
        <v>3.2.1. Depreciação</v>
      </c>
      <c r="B34" s="42"/>
      <c r="C34" s="43"/>
      <c r="D34" s="43"/>
      <c r="E34" s="124">
        <f>F343</f>
        <v>1496.072311990667</v>
      </c>
      <c r="F34" s="51">
        <f t="shared" si="0"/>
        <v>9.316243866992556E-3</v>
      </c>
      <c r="G34" s="4"/>
    </row>
    <row r="35" spans="1:7" s="2" customFormat="1" ht="15.75" customHeight="1" x14ac:dyDescent="0.2">
      <c r="A35" s="58" t="str">
        <f>A345</f>
        <v>3.2.2. Remuneração do Capital</v>
      </c>
      <c r="B35" s="42"/>
      <c r="C35" s="43"/>
      <c r="D35" s="43"/>
      <c r="E35" s="124">
        <f>F359</f>
        <v>1166.5944046192335</v>
      </c>
      <c r="F35" s="51">
        <f t="shared" si="0"/>
        <v>7.2645405440599888E-3</v>
      </c>
      <c r="G35" s="4"/>
    </row>
    <row r="36" spans="1:7" s="2" customFormat="1" ht="15.75" customHeight="1" x14ac:dyDescent="0.2">
      <c r="A36" s="58" t="str">
        <f>A361</f>
        <v>3.2.3. Impostos e Seguros</v>
      </c>
      <c r="B36" s="42"/>
      <c r="C36" s="43"/>
      <c r="D36" s="43"/>
      <c r="E36" s="124">
        <f>F367</f>
        <v>190.40305899999998</v>
      </c>
      <c r="F36" s="51">
        <f t="shared" si="0"/>
        <v>1.1856655032303261E-3</v>
      </c>
      <c r="G36" s="4"/>
    </row>
    <row r="37" spans="1:7" s="2" customFormat="1" ht="15.75" customHeight="1" x14ac:dyDescent="0.2">
      <c r="A37" s="58" t="str">
        <f>A369</f>
        <v>3.2.4. Consumos</v>
      </c>
      <c r="B37" s="42"/>
      <c r="C37" s="43"/>
      <c r="D37" s="43"/>
      <c r="E37" s="124">
        <f>F384</f>
        <v>1138.7185714285715</v>
      </c>
      <c r="F37" s="51">
        <f t="shared" si="0"/>
        <v>7.0909539748023444E-3</v>
      </c>
      <c r="G37" s="4"/>
    </row>
    <row r="38" spans="1:7" s="2" customFormat="1" ht="15.75" customHeight="1" x14ac:dyDescent="0.2">
      <c r="A38" s="58" t="str">
        <f>A386</f>
        <v>3.2.5. Manutenção</v>
      </c>
      <c r="B38" s="42"/>
      <c r="C38" s="43"/>
      <c r="D38" s="43"/>
      <c r="E38" s="124">
        <f>F389</f>
        <v>720</v>
      </c>
      <c r="F38" s="51">
        <f t="shared" si="0"/>
        <v>4.4835370125321083E-3</v>
      </c>
      <c r="G38" s="4"/>
    </row>
    <row r="39" spans="1:7" s="2" customFormat="1" ht="15.75" customHeight="1" x14ac:dyDescent="0.2">
      <c r="A39" s="58" t="str">
        <f>A391</f>
        <v>3.2.6. Pneus</v>
      </c>
      <c r="B39" s="42"/>
      <c r="C39" s="43"/>
      <c r="D39" s="43"/>
      <c r="E39" s="124">
        <f>F398</f>
        <v>201.60000000000002</v>
      </c>
      <c r="F39" s="51">
        <f t="shared" si="0"/>
        <v>1.2553903635089906E-3</v>
      </c>
      <c r="G39" s="4"/>
    </row>
    <row r="40" spans="1:7" s="2" customFormat="1" ht="15.75" customHeight="1" x14ac:dyDescent="0.2">
      <c r="A40" s="240" t="str">
        <f>A400</f>
        <v>3.3. Veículo de passeio</v>
      </c>
      <c r="B40" s="103"/>
      <c r="C40" s="97"/>
      <c r="D40" s="97"/>
      <c r="E40" s="123">
        <f>SUM(E41:E46)</f>
        <v>9997.5962224311897</v>
      </c>
      <c r="F40" s="98">
        <f t="shared" si="0"/>
        <v>6.2256378749474213E-2</v>
      </c>
      <c r="G40" s="4"/>
    </row>
    <row r="41" spans="1:7" s="2" customFormat="1" ht="15.75" customHeight="1" x14ac:dyDescent="0.2">
      <c r="A41" s="58" t="str">
        <f>A402</f>
        <v>3.3.1. Depreciação</v>
      </c>
      <c r="B41" s="42"/>
      <c r="C41" s="43"/>
      <c r="D41" s="43"/>
      <c r="E41" s="124">
        <f>F411</f>
        <v>2097.8710957999997</v>
      </c>
      <c r="F41" s="51">
        <f t="shared" si="0"/>
        <v>1.3063725979917489E-2</v>
      </c>
      <c r="G41" s="4"/>
    </row>
    <row r="42" spans="1:7" s="2" customFormat="1" ht="15.75" customHeight="1" x14ac:dyDescent="0.2">
      <c r="A42" s="58" t="str">
        <f>A413</f>
        <v>3.3.2. Remuneração do Capital</v>
      </c>
      <c r="B42" s="42"/>
      <c r="C42" s="43"/>
      <c r="D42" s="43"/>
      <c r="E42" s="124">
        <f>F422</f>
        <v>1635.8598861549999</v>
      </c>
      <c r="F42" s="51">
        <f t="shared" si="0"/>
        <v>1.0186719926239589E-2</v>
      </c>
      <c r="G42" s="4"/>
    </row>
    <row r="43" spans="1:7" s="2" customFormat="1" ht="15.75" customHeight="1" x14ac:dyDescent="0.2">
      <c r="A43" s="58" t="str">
        <f>A424</f>
        <v>3.3.3. Impostos e Seguros</v>
      </c>
      <c r="B43" s="42"/>
      <c r="C43" s="43"/>
      <c r="D43" s="43"/>
      <c r="E43" s="124">
        <f>F430</f>
        <v>619.26238333333333</v>
      </c>
      <c r="F43" s="51">
        <f t="shared" si="0"/>
        <v>3.8562303001997873E-3</v>
      </c>
      <c r="G43" s="4"/>
    </row>
    <row r="44" spans="1:7" s="2" customFormat="1" ht="15.75" customHeight="1" x14ac:dyDescent="0.2">
      <c r="A44" s="58" t="str">
        <f>A432</f>
        <v>3.3.4. Consumos</v>
      </c>
      <c r="B44" s="42"/>
      <c r="C44" s="43"/>
      <c r="D44" s="43"/>
      <c r="E44" s="124">
        <f>F447</f>
        <v>3158.6028571428574</v>
      </c>
      <c r="F44" s="51">
        <f t="shared" si="0"/>
        <v>1.966904558040232E-2</v>
      </c>
      <c r="G44" s="4"/>
    </row>
    <row r="45" spans="1:7" s="2" customFormat="1" ht="15.75" customHeight="1" x14ac:dyDescent="0.2">
      <c r="A45" s="58" t="str">
        <f>A449</f>
        <v>3.3.5. Manutenção</v>
      </c>
      <c r="B45" s="42"/>
      <c r="C45" s="43"/>
      <c r="D45" s="43"/>
      <c r="E45" s="124">
        <f>F452</f>
        <v>2200</v>
      </c>
      <c r="F45" s="51">
        <f t="shared" si="0"/>
        <v>1.3699696427181444E-2</v>
      </c>
      <c r="G45" s="4"/>
    </row>
    <row r="46" spans="1:7" s="2" customFormat="1" ht="15.75" customHeight="1" x14ac:dyDescent="0.2">
      <c r="A46" s="58" t="str">
        <f>A454</f>
        <v>3.3.6. Pneus</v>
      </c>
      <c r="B46" s="42"/>
      <c r="C46" s="43"/>
      <c r="D46" s="43"/>
      <c r="E46" s="124">
        <f>F461</f>
        <v>286</v>
      </c>
      <c r="F46" s="51">
        <f t="shared" si="0"/>
        <v>1.7809605355335876E-3</v>
      </c>
      <c r="G46" s="4"/>
    </row>
    <row r="47" spans="1:7" s="9" customFormat="1" ht="15.75" customHeight="1" x14ac:dyDescent="0.2">
      <c r="A47" s="102" t="str">
        <f>A465</f>
        <v>4. Ferramentas e Materiais de Consumo</v>
      </c>
      <c r="B47" s="103"/>
      <c r="C47" s="97"/>
      <c r="D47" s="97"/>
      <c r="E47" s="123">
        <f>F491</f>
        <v>2124.9999999999995</v>
      </c>
      <c r="F47" s="51">
        <f t="shared" si="0"/>
        <v>1.3232661321709346E-2</v>
      </c>
      <c r="G47" s="40"/>
    </row>
    <row r="48" spans="1:7" s="9" customFormat="1" ht="15.75" customHeight="1" thickBot="1" x14ac:dyDescent="0.25">
      <c r="A48" s="102" t="str">
        <f>A496</f>
        <v>5. Benefícios e Despesas Indiretas - BDI</v>
      </c>
      <c r="B48" s="103"/>
      <c r="C48" s="97"/>
      <c r="D48" s="97"/>
      <c r="E48" s="125">
        <f>F502</f>
        <v>38179.161659494479</v>
      </c>
      <c r="F48" s="51">
        <f t="shared" si="0"/>
        <v>0.23774678389970874</v>
      </c>
      <c r="G48" s="40"/>
    </row>
    <row r="49" spans="1:7" s="2" customFormat="1" ht="15.75" customHeight="1" thickBot="1" x14ac:dyDescent="0.25">
      <c r="A49" s="38" t="s">
        <v>195</v>
      </c>
      <c r="B49" s="39"/>
      <c r="C49" s="24"/>
      <c r="D49" s="24"/>
      <c r="E49" s="86">
        <f>ROUND((E48+E47+E25+E24+E13),2)</f>
        <v>160587.5</v>
      </c>
      <c r="F49" s="107">
        <f>F48+F47+F25+F24+F13</f>
        <v>1.0000000185893809</v>
      </c>
      <c r="G49" s="4"/>
    </row>
    <row r="51" spans="1:7" ht="13.5" thickBot="1" x14ac:dyDescent="0.25"/>
    <row r="52" spans="1:7" s="2" customFormat="1" ht="15" customHeight="1" thickBot="1" x14ac:dyDescent="0.25">
      <c r="A52" s="276" t="s">
        <v>70</v>
      </c>
      <c r="B52" s="277"/>
      <c r="C52" s="277"/>
      <c r="D52" s="277"/>
      <c r="E52" s="279"/>
      <c r="F52" s="8"/>
      <c r="G52" s="4"/>
    </row>
    <row r="53" spans="1:7" s="2" customFormat="1" ht="15" customHeight="1" x14ac:dyDescent="0.2">
      <c r="A53" s="273" t="s">
        <v>32</v>
      </c>
      <c r="B53" s="274"/>
      <c r="C53" s="274"/>
      <c r="D53" s="275"/>
      <c r="E53" s="158" t="s">
        <v>33</v>
      </c>
      <c r="F53" s="158" t="s">
        <v>279</v>
      </c>
      <c r="G53" s="4"/>
    </row>
    <row r="54" spans="1:7" s="2" customFormat="1" ht="15" customHeight="1" x14ac:dyDescent="0.2">
      <c r="A54" s="45" t="str">
        <f>+A74</f>
        <v>1.1. Eletricista Turno dia</v>
      </c>
      <c r="B54" s="45"/>
      <c r="C54" s="45"/>
      <c r="D54" s="225"/>
      <c r="E54" s="159">
        <v>3</v>
      </c>
      <c r="F54" s="254" t="s">
        <v>284</v>
      </c>
      <c r="G54" s="4"/>
    </row>
    <row r="55" spans="1:7" s="2" customFormat="1" ht="15" customHeight="1" x14ac:dyDescent="0.2">
      <c r="A55" s="45" t="str">
        <f>+A87</f>
        <v>1.2. Eletricista Turno noite</v>
      </c>
      <c r="B55" s="45"/>
      <c r="C55" s="45"/>
      <c r="D55" s="225"/>
      <c r="E55" s="159">
        <v>1</v>
      </c>
      <c r="F55" s="254" t="s">
        <v>285</v>
      </c>
      <c r="G55" s="4"/>
    </row>
    <row r="56" spans="1:7" s="2" customFormat="1" ht="15" customHeight="1" x14ac:dyDescent="0.2">
      <c r="A56" s="45" t="str">
        <f>+A106</f>
        <v>1.3. Motorista Turno Dia</v>
      </c>
      <c r="B56" s="45"/>
      <c r="C56" s="45"/>
      <c r="D56" s="225"/>
      <c r="E56" s="159">
        <v>2</v>
      </c>
      <c r="F56" s="254" t="s">
        <v>284</v>
      </c>
      <c r="G56" s="4"/>
    </row>
    <row r="57" spans="1:7" s="2" customFormat="1" ht="15" customHeight="1" x14ac:dyDescent="0.2">
      <c r="A57" s="45" t="str">
        <f>+A121</f>
        <v>1.4. Motorista Turno Noite</v>
      </c>
      <c r="B57" s="45"/>
      <c r="C57" s="45"/>
      <c r="D57" s="225"/>
      <c r="E57" s="159">
        <v>1</v>
      </c>
      <c r="F57" s="254" t="s">
        <v>285</v>
      </c>
      <c r="G57" s="4"/>
    </row>
    <row r="58" spans="1:7" s="2" customFormat="1" ht="15" customHeight="1" x14ac:dyDescent="0.2">
      <c r="A58" s="227" t="str">
        <f>A142</f>
        <v>1.5. Eletrotécnico Turno dia</v>
      </c>
      <c r="B58" s="45"/>
      <c r="C58" s="45"/>
      <c r="D58" s="225"/>
      <c r="E58" s="159">
        <v>1</v>
      </c>
      <c r="F58" s="254" t="s">
        <v>284</v>
      </c>
      <c r="G58" s="4"/>
    </row>
    <row r="59" spans="1:7" s="2" customFormat="1" ht="15" customHeight="1" x14ac:dyDescent="0.2">
      <c r="A59" s="227" t="str">
        <f>A156</f>
        <v>1.6. Auxiliar de eletricista Turno dia</v>
      </c>
      <c r="B59" s="45"/>
      <c r="C59" s="45"/>
      <c r="D59" s="225"/>
      <c r="E59" s="159">
        <v>1</v>
      </c>
      <c r="F59" s="254" t="s">
        <v>284</v>
      </c>
      <c r="G59" s="4"/>
    </row>
    <row r="60" spans="1:7" s="2" customFormat="1" ht="15" customHeight="1" x14ac:dyDescent="0.2">
      <c r="A60" s="227" t="str">
        <f>A169</f>
        <v>1.7. Eng Eletricista</v>
      </c>
      <c r="B60" s="45"/>
      <c r="C60" s="45"/>
      <c r="D60" s="225"/>
      <c r="E60" s="159">
        <v>1</v>
      </c>
      <c r="F60" s="254">
        <v>0.3</v>
      </c>
      <c r="G60" s="4"/>
    </row>
    <row r="61" spans="1:7" s="2" customFormat="1" ht="15" customHeight="1" x14ac:dyDescent="0.2">
      <c r="A61" s="227" t="str">
        <f>A182</f>
        <v>1.8. Eng seg trabalho</v>
      </c>
      <c r="B61" s="45"/>
      <c r="C61" s="45"/>
      <c r="D61" s="225"/>
      <c r="E61" s="159">
        <v>1</v>
      </c>
      <c r="F61" s="254">
        <v>0.3</v>
      </c>
      <c r="G61" s="4"/>
    </row>
    <row r="62" spans="1:7" s="2" customFormat="1" ht="15" customHeight="1" x14ac:dyDescent="0.2">
      <c r="A62" s="228" t="s">
        <v>47</v>
      </c>
      <c r="B62" s="226"/>
      <c r="C62" s="226"/>
      <c r="D62" s="225"/>
      <c r="E62" s="229">
        <f>SUM(E54:E61)</f>
        <v>11</v>
      </c>
      <c r="F62" s="254"/>
      <c r="G62" s="4"/>
    </row>
    <row r="63" spans="1:7" s="2" customFormat="1" ht="15" customHeight="1" x14ac:dyDescent="0.2">
      <c r="A63" s="99"/>
      <c r="B63" s="100"/>
      <c r="C63" s="52"/>
      <c r="D63" s="52"/>
      <c r="E63" s="101"/>
      <c r="F63" s="8"/>
      <c r="G63" s="4"/>
    </row>
    <row r="64" spans="1:7" s="2" customFormat="1" ht="15" customHeight="1" x14ac:dyDescent="0.2">
      <c r="A64" s="269" t="s">
        <v>46</v>
      </c>
      <c r="B64" s="269"/>
      <c r="C64" s="269"/>
      <c r="D64" s="269"/>
      <c r="E64" s="158" t="s">
        <v>33</v>
      </c>
      <c r="F64" s="158" t="s">
        <v>279</v>
      </c>
      <c r="G64" s="4"/>
    </row>
    <row r="65" spans="1:7" s="2" customFormat="1" ht="15" customHeight="1" x14ac:dyDescent="0.2">
      <c r="A65" s="45" t="str">
        <f>+A254</f>
        <v>3.1. Caminhão Cesto aéreo 12 metros</v>
      </c>
      <c r="B65" s="45"/>
      <c r="C65" s="45"/>
      <c r="D65" s="14"/>
      <c r="E65" s="159">
        <v>2</v>
      </c>
      <c r="F65" s="254" t="s">
        <v>284</v>
      </c>
      <c r="G65" s="4"/>
    </row>
    <row r="66" spans="1:7" s="2" customFormat="1" ht="15" customHeight="1" x14ac:dyDescent="0.2">
      <c r="A66" s="45" t="str">
        <f>A327</f>
        <v>3.2. Guindauto capacidade 6,2tn</v>
      </c>
      <c r="B66" s="45"/>
      <c r="C66" s="45"/>
      <c r="D66" s="14"/>
      <c r="E66" s="159">
        <v>1</v>
      </c>
      <c r="F66" s="254" t="s">
        <v>285</v>
      </c>
      <c r="G66" s="4"/>
    </row>
    <row r="67" spans="1:7" s="2" customFormat="1" ht="15" customHeight="1" x14ac:dyDescent="0.2">
      <c r="A67" s="45" t="str">
        <f>A400</f>
        <v>3.3. Veículo de passeio</v>
      </c>
      <c r="B67" s="45"/>
      <c r="C67" s="45"/>
      <c r="D67" s="14"/>
      <c r="E67" s="159">
        <v>2</v>
      </c>
      <c r="F67" s="254" t="s">
        <v>284</v>
      </c>
      <c r="G67" s="4"/>
    </row>
    <row r="68" spans="1:7" s="2" customFormat="1" ht="15" customHeight="1" x14ac:dyDescent="0.2">
      <c r="A68" s="52"/>
      <c r="B68" s="52"/>
      <c r="C68" s="52"/>
      <c r="D68" s="47"/>
      <c r="E68" s="122"/>
      <c r="F68" s="7"/>
      <c r="G68" s="4"/>
    </row>
    <row r="69" spans="1:7" s="2" customFormat="1" ht="13.5" thickBot="1" x14ac:dyDescent="0.25">
      <c r="A69" s="52"/>
      <c r="B69" s="52"/>
      <c r="C69" s="52"/>
      <c r="D69" s="47"/>
      <c r="E69" s="59"/>
      <c r="F69" s="7"/>
      <c r="G69" s="4"/>
    </row>
    <row r="70" spans="1:7" s="9" customFormat="1" ht="15.75" customHeight="1" thickBot="1" x14ac:dyDescent="0.25">
      <c r="A70" s="127" t="s">
        <v>94</v>
      </c>
      <c r="B70" s="128">
        <v>1</v>
      </c>
      <c r="C70" s="33"/>
      <c r="D70" s="32"/>
      <c r="E70" s="113"/>
      <c r="G70" s="40"/>
    </row>
    <row r="71" spans="1:7" s="2" customFormat="1" ht="15.75" customHeight="1" x14ac:dyDescent="0.2">
      <c r="A71" s="52"/>
      <c r="B71" s="52"/>
      <c r="C71" s="52"/>
      <c r="D71" s="47"/>
      <c r="E71" s="59"/>
      <c r="F71" s="7"/>
      <c r="G71" s="4"/>
    </row>
    <row r="72" spans="1:7" ht="13.15" customHeight="1" x14ac:dyDescent="0.2">
      <c r="A72" s="9" t="s">
        <v>37</v>
      </c>
    </row>
    <row r="73" spans="1:7" ht="11.25" customHeight="1" x14ac:dyDescent="0.2"/>
    <row r="74" spans="1:7" ht="13.9" customHeight="1" thickBot="1" x14ac:dyDescent="0.25">
      <c r="A74" s="5" t="s">
        <v>263</v>
      </c>
    </row>
    <row r="75" spans="1:7" ht="13.9" customHeight="1" thickBot="1" x14ac:dyDescent="0.25">
      <c r="A75" s="53" t="s">
        <v>50</v>
      </c>
      <c r="B75" s="54" t="s">
        <v>51</v>
      </c>
      <c r="C75" s="54" t="s">
        <v>33</v>
      </c>
      <c r="D75" s="55" t="s">
        <v>118</v>
      </c>
      <c r="E75" s="55" t="s">
        <v>52</v>
      </c>
      <c r="F75" s="56" t="s">
        <v>53</v>
      </c>
    </row>
    <row r="76" spans="1:7" ht="13.15" customHeight="1" x14ac:dyDescent="0.2">
      <c r="A76" s="11" t="s">
        <v>105</v>
      </c>
      <c r="B76" s="12" t="s">
        <v>7</v>
      </c>
      <c r="C76" s="12">
        <v>1</v>
      </c>
      <c r="D76" s="63">
        <v>2194.0300000000002</v>
      </c>
      <c r="E76" s="13">
        <f>C76*D76</f>
        <v>2194.0300000000002</v>
      </c>
    </row>
    <row r="77" spans="1:7" x14ac:dyDescent="0.2">
      <c r="A77" s="14" t="s">
        <v>28</v>
      </c>
      <c r="B77" s="15" t="s">
        <v>0</v>
      </c>
      <c r="C77" s="64">
        <v>28</v>
      </c>
      <c r="D77" s="16">
        <f>D76/220*2</f>
        <v>19.945727272727275</v>
      </c>
      <c r="E77" s="16">
        <f>C77*D77</f>
        <v>558.48036363636368</v>
      </c>
    </row>
    <row r="78" spans="1:7" ht="13.15" customHeight="1" x14ac:dyDescent="0.2">
      <c r="A78" s="14" t="s">
        <v>29</v>
      </c>
      <c r="B78" s="15" t="s">
        <v>0</v>
      </c>
      <c r="C78" s="64">
        <v>65</v>
      </c>
      <c r="D78" s="16">
        <f>D76/220*1.5</f>
        <v>14.959295454545456</v>
      </c>
      <c r="E78" s="16">
        <f>C78*D78</f>
        <v>972.35420454545465</v>
      </c>
    </row>
    <row r="79" spans="1:7" ht="13.15" customHeight="1" x14ac:dyDescent="0.2">
      <c r="A79" s="14" t="s">
        <v>108</v>
      </c>
      <c r="B79" s="15" t="s">
        <v>27</v>
      </c>
      <c r="D79" s="16">
        <f>63/302*(SUM(E77:E78))</f>
        <v>319.34628409090914</v>
      </c>
      <c r="E79" s="16">
        <f>D79</f>
        <v>319.34628409090914</v>
      </c>
    </row>
    <row r="80" spans="1:7" x14ac:dyDescent="0.2">
      <c r="A80" s="149" t="s">
        <v>259</v>
      </c>
      <c r="B80" s="15" t="s">
        <v>1</v>
      </c>
      <c r="C80" s="15">
        <v>30</v>
      </c>
      <c r="D80" s="60">
        <f>SUM(E76:E79)</f>
        <v>4044.2108522727276</v>
      </c>
      <c r="E80" s="16">
        <f>C80*D80/100</f>
        <v>1213.2632556818182</v>
      </c>
    </row>
    <row r="81" spans="1:7" x14ac:dyDescent="0.2">
      <c r="A81" s="88" t="s">
        <v>2</v>
      </c>
      <c r="B81" s="89"/>
      <c r="C81" s="89"/>
      <c r="D81" s="90"/>
      <c r="E81" s="91">
        <f>SUM(E76:E80)</f>
        <v>5257.4741079545456</v>
      </c>
    </row>
    <row r="82" spans="1:7" x14ac:dyDescent="0.2">
      <c r="A82" s="14" t="s">
        <v>3</v>
      </c>
      <c r="B82" s="15" t="s">
        <v>1</v>
      </c>
      <c r="C82" s="105">
        <v>46.32</v>
      </c>
      <c r="D82" s="16">
        <f>E81</f>
        <v>5257.4741079545456</v>
      </c>
      <c r="E82" s="16">
        <f>D82*C82/100</f>
        <v>2435.2620068045453</v>
      </c>
    </row>
    <row r="83" spans="1:7" x14ac:dyDescent="0.2">
      <c r="A83" s="88" t="s">
        <v>58</v>
      </c>
      <c r="B83" s="89"/>
      <c r="C83" s="89"/>
      <c r="D83" s="90"/>
      <c r="E83" s="91">
        <f>E81+E82</f>
        <v>7692.7361147590909</v>
      </c>
    </row>
    <row r="84" spans="1:7" ht="13.5" thickBot="1" x14ac:dyDescent="0.25">
      <c r="A84" s="14" t="s">
        <v>4</v>
      </c>
      <c r="B84" s="15" t="s">
        <v>5</v>
      </c>
      <c r="C84" s="62">
        <v>3</v>
      </c>
      <c r="D84" s="16">
        <f>E83</f>
        <v>7692.7361147590909</v>
      </c>
      <c r="E84" s="16">
        <f>C84*D84</f>
        <v>23078.208344277271</v>
      </c>
      <c r="G84" s="4"/>
    </row>
    <row r="85" spans="1:7" ht="13.9" customHeight="1" thickBot="1" x14ac:dyDescent="0.25">
      <c r="D85" s="93" t="s">
        <v>93</v>
      </c>
      <c r="E85" s="45">
        <f>$B$70</f>
        <v>1</v>
      </c>
      <c r="F85" s="94">
        <f>E84*E85</f>
        <v>23078.208344277271</v>
      </c>
      <c r="G85" s="4"/>
    </row>
    <row r="86" spans="1:7" ht="11.25" customHeight="1" x14ac:dyDescent="0.2"/>
    <row r="87" spans="1:7" ht="13.5" thickBot="1" x14ac:dyDescent="0.25">
      <c r="A87" s="5" t="s">
        <v>262</v>
      </c>
    </row>
    <row r="88" spans="1:7" ht="13.5" thickBot="1" x14ac:dyDescent="0.25">
      <c r="A88" s="53" t="s">
        <v>50</v>
      </c>
      <c r="B88" s="54" t="s">
        <v>51</v>
      </c>
      <c r="C88" s="54" t="s">
        <v>33</v>
      </c>
      <c r="D88" s="55" t="s">
        <v>118</v>
      </c>
      <c r="E88" s="55" t="s">
        <v>52</v>
      </c>
      <c r="F88" s="56" t="s">
        <v>53</v>
      </c>
    </row>
    <row r="89" spans="1:7" x14ac:dyDescent="0.2">
      <c r="A89" s="11" t="s">
        <v>105</v>
      </c>
      <c r="B89" s="12" t="s">
        <v>7</v>
      </c>
      <c r="C89" s="12">
        <v>1</v>
      </c>
      <c r="D89" s="13">
        <f>D76</f>
        <v>2194.0300000000002</v>
      </c>
      <c r="E89" s="13">
        <f>C89*D89</f>
        <v>2194.0300000000002</v>
      </c>
    </row>
    <row r="90" spans="1:7" x14ac:dyDescent="0.2">
      <c r="A90" s="14" t="s">
        <v>6</v>
      </c>
      <c r="B90" s="15" t="s">
        <v>71</v>
      </c>
      <c r="C90" s="64">
        <v>160</v>
      </c>
      <c r="D90" s="16"/>
      <c r="E90" s="16"/>
    </row>
    <row r="91" spans="1:7" x14ac:dyDescent="0.2">
      <c r="A91" s="14"/>
      <c r="B91" s="15" t="s">
        <v>74</v>
      </c>
      <c r="C91" s="92">
        <f>C90*8/7</f>
        <v>182.85714285714286</v>
      </c>
      <c r="D91" s="16">
        <f>D89/220*0.2</f>
        <v>1.9945727272727276</v>
      </c>
      <c r="E91" s="16">
        <f>C91*D91</f>
        <v>364.72187012987018</v>
      </c>
    </row>
    <row r="92" spans="1:7" x14ac:dyDescent="0.2">
      <c r="A92" s="14" t="s">
        <v>28</v>
      </c>
      <c r="B92" s="15" t="s">
        <v>0</v>
      </c>
      <c r="C92" s="64">
        <v>36</v>
      </c>
      <c r="D92" s="16">
        <f>D89/220*2</f>
        <v>19.945727272727275</v>
      </c>
      <c r="E92" s="16">
        <f>C92*D92</f>
        <v>718.04618181818194</v>
      </c>
    </row>
    <row r="93" spans="1:7" x14ac:dyDescent="0.2">
      <c r="A93" s="14" t="s">
        <v>72</v>
      </c>
      <c r="B93" s="15" t="s">
        <v>71</v>
      </c>
      <c r="C93" s="64">
        <v>36</v>
      </c>
      <c r="D93" s="16"/>
      <c r="E93" s="16"/>
    </row>
    <row r="94" spans="1:7" x14ac:dyDescent="0.2">
      <c r="A94" s="14"/>
      <c r="B94" s="15" t="s">
        <v>74</v>
      </c>
      <c r="C94" s="92">
        <f>C93*8/7</f>
        <v>41.142857142857146</v>
      </c>
      <c r="D94" s="16">
        <f>D89/220*2*1.2</f>
        <v>23.93487272727273</v>
      </c>
      <c r="E94" s="16">
        <f>C94*D94</f>
        <v>984.74904935064956</v>
      </c>
    </row>
    <row r="95" spans="1:7" x14ac:dyDescent="0.2">
      <c r="A95" s="14" t="s">
        <v>29</v>
      </c>
      <c r="B95" s="15" t="s">
        <v>0</v>
      </c>
      <c r="C95" s="64"/>
      <c r="D95" s="16">
        <f>D89/220*1.5</f>
        <v>14.959295454545456</v>
      </c>
      <c r="E95" s="16">
        <f>C95*D95</f>
        <v>0</v>
      </c>
    </row>
    <row r="96" spans="1:7" x14ac:dyDescent="0.2">
      <c r="A96" s="14" t="s">
        <v>107</v>
      </c>
      <c r="B96" s="15" t="s">
        <v>71</v>
      </c>
      <c r="C96" s="64"/>
      <c r="D96" s="16"/>
      <c r="E96" s="16"/>
    </row>
    <row r="97" spans="1:7" x14ac:dyDescent="0.2">
      <c r="A97" s="14"/>
      <c r="B97" s="15" t="s">
        <v>74</v>
      </c>
      <c r="C97" s="16">
        <f>C96*8/7</f>
        <v>0</v>
      </c>
      <c r="D97" s="16">
        <f>D89/220*1.5*1.2</f>
        <v>17.951154545454546</v>
      </c>
      <c r="E97" s="16">
        <f>C97*D97</f>
        <v>0</v>
      </c>
    </row>
    <row r="98" spans="1:7" ht="13.15" customHeight="1" x14ac:dyDescent="0.2">
      <c r="A98" s="14" t="s">
        <v>108</v>
      </c>
      <c r="B98" s="15" t="s">
        <v>27</v>
      </c>
      <c r="D98" s="16">
        <f>63/302*(SUM(E92:E97))</f>
        <v>355.21887272727281</v>
      </c>
      <c r="E98" s="16">
        <f>D98</f>
        <v>355.21887272727281</v>
      </c>
    </row>
    <row r="99" spans="1:7" x14ac:dyDescent="0.2">
      <c r="A99" s="149" t="s">
        <v>259</v>
      </c>
      <c r="B99" s="15" t="s">
        <v>1</v>
      </c>
      <c r="C99" s="15">
        <v>30</v>
      </c>
      <c r="D99" s="60">
        <f>SUM(E89:E98)</f>
        <v>4616.7659740259751</v>
      </c>
      <c r="E99" s="16">
        <f>C99*D99/100</f>
        <v>1385.0297922077925</v>
      </c>
    </row>
    <row r="100" spans="1:7" x14ac:dyDescent="0.2">
      <c r="A100" s="88" t="s">
        <v>2</v>
      </c>
      <c r="B100" s="89"/>
      <c r="C100" s="89"/>
      <c r="D100" s="90"/>
      <c r="E100" s="91">
        <f>SUM(E89:E99)</f>
        <v>6001.7957662337676</v>
      </c>
    </row>
    <row r="101" spans="1:7" x14ac:dyDescent="0.2">
      <c r="A101" s="14" t="s">
        <v>3</v>
      </c>
      <c r="B101" s="15" t="s">
        <v>1</v>
      </c>
      <c r="C101" s="105">
        <v>46.32</v>
      </c>
      <c r="D101" s="16">
        <f>E100</f>
        <v>6001.7957662337676</v>
      </c>
      <c r="E101" s="16">
        <f>D101*C101/100</f>
        <v>2780.0317989194814</v>
      </c>
    </row>
    <row r="102" spans="1:7" x14ac:dyDescent="0.2">
      <c r="A102" s="88" t="s">
        <v>58</v>
      </c>
      <c r="B102" s="89"/>
      <c r="C102" s="89"/>
      <c r="D102" s="90"/>
      <c r="E102" s="91">
        <f>E100+E101</f>
        <v>8781.8275651532495</v>
      </c>
    </row>
    <row r="103" spans="1:7" ht="13.5" thickBot="1" x14ac:dyDescent="0.25">
      <c r="A103" s="14" t="s">
        <v>4</v>
      </c>
      <c r="B103" s="15" t="s">
        <v>5</v>
      </c>
      <c r="C103" s="62">
        <v>1</v>
      </c>
      <c r="D103" s="16">
        <f>E102</f>
        <v>8781.8275651532495</v>
      </c>
      <c r="E103" s="16">
        <f>C103*D103</f>
        <v>8781.8275651532495</v>
      </c>
    </row>
    <row r="104" spans="1:7" ht="13.5" thickBot="1" x14ac:dyDescent="0.25">
      <c r="D104" s="93" t="s">
        <v>93</v>
      </c>
      <c r="E104" s="45">
        <v>0.22</v>
      </c>
      <c r="F104" s="94">
        <f>E103*E104</f>
        <v>1932.002064333715</v>
      </c>
    </row>
    <row r="105" spans="1:7" ht="11.25" customHeight="1" x14ac:dyDescent="0.2">
      <c r="D105" s="148" t="s">
        <v>269</v>
      </c>
    </row>
    <row r="106" spans="1:7" ht="13.5" thickBot="1" x14ac:dyDescent="0.25">
      <c r="A106" s="5" t="s">
        <v>265</v>
      </c>
    </row>
    <row r="107" spans="1:7" s="10" customFormat="1" ht="13.15" customHeight="1" thickBot="1" x14ac:dyDescent="0.25">
      <c r="A107" s="53" t="s">
        <v>50</v>
      </c>
      <c r="B107" s="54" t="s">
        <v>51</v>
      </c>
      <c r="C107" s="54" t="s">
        <v>33</v>
      </c>
      <c r="D107" s="55" t="s">
        <v>118</v>
      </c>
      <c r="E107" s="55" t="s">
        <v>52</v>
      </c>
      <c r="F107" s="56" t="s">
        <v>53</v>
      </c>
      <c r="G107" s="8"/>
    </row>
    <row r="108" spans="1:7" x14ac:dyDescent="0.2">
      <c r="A108" s="146" t="s">
        <v>131</v>
      </c>
      <c r="B108" s="12" t="s">
        <v>7</v>
      </c>
      <c r="C108" s="12">
        <v>1</v>
      </c>
      <c r="D108" s="63">
        <v>1988.69</v>
      </c>
      <c r="E108" s="13">
        <f>C108*D108</f>
        <v>1988.69</v>
      </c>
    </row>
    <row r="109" spans="1:7" x14ac:dyDescent="0.2">
      <c r="A109" s="146" t="s">
        <v>132</v>
      </c>
      <c r="B109" s="12" t="s">
        <v>7</v>
      </c>
      <c r="C109" s="12">
        <v>1</v>
      </c>
      <c r="D109" s="63">
        <v>1302</v>
      </c>
      <c r="E109" s="13"/>
    </row>
    <row r="110" spans="1:7" x14ac:dyDescent="0.2">
      <c r="A110" s="14" t="s">
        <v>28</v>
      </c>
      <c r="B110" s="15" t="s">
        <v>0</v>
      </c>
      <c r="C110" s="64">
        <v>36</v>
      </c>
      <c r="D110" s="16">
        <f>D108/220*2</f>
        <v>18.079000000000001</v>
      </c>
      <c r="E110" s="16">
        <f>C110*D110</f>
        <v>650.84400000000005</v>
      </c>
    </row>
    <row r="111" spans="1:7" x14ac:dyDescent="0.2">
      <c r="A111" s="14" t="s">
        <v>29</v>
      </c>
      <c r="B111" s="15" t="s">
        <v>0</v>
      </c>
      <c r="C111" s="64">
        <v>88</v>
      </c>
      <c r="D111" s="16">
        <f>D108/220*1.5</f>
        <v>13.55925</v>
      </c>
      <c r="E111" s="16">
        <f>C111*D111</f>
        <v>1193.2139999999999</v>
      </c>
    </row>
    <row r="112" spans="1:7" ht="13.15" customHeight="1" x14ac:dyDescent="0.2">
      <c r="A112" s="14" t="s">
        <v>108</v>
      </c>
      <c r="B112" s="15" t="s">
        <v>27</v>
      </c>
      <c r="D112" s="16">
        <f>63/302*(SUM(E110:E111))</f>
        <v>384.6875960264901</v>
      </c>
      <c r="E112" s="16">
        <f>D112</f>
        <v>384.6875960264901</v>
      </c>
    </row>
    <row r="113" spans="1:7" x14ac:dyDescent="0.2">
      <c r="A113" s="14" t="s">
        <v>106</v>
      </c>
      <c r="B113" s="15"/>
      <c r="C113" s="66">
        <v>2</v>
      </c>
      <c r="D113" s="16"/>
      <c r="E113" s="16"/>
    </row>
    <row r="114" spans="1:7" x14ac:dyDescent="0.2">
      <c r="A114" s="149" t="s">
        <v>259</v>
      </c>
      <c r="B114" s="15" t="s">
        <v>1</v>
      </c>
      <c r="C114" s="15">
        <v>0</v>
      </c>
      <c r="D114" s="60">
        <f>IF(C113=2,SUM(E108:E112),IF(C113=1,(SUM(E108:E112))*D109/D108,0))</f>
        <v>4217.4355960264902</v>
      </c>
      <c r="E114" s="16">
        <f>C114*D114/100</f>
        <v>0</v>
      </c>
    </row>
    <row r="115" spans="1:7" s="9" customFormat="1" x14ac:dyDescent="0.2">
      <c r="A115" s="74" t="s">
        <v>2</v>
      </c>
      <c r="B115" s="89"/>
      <c r="C115" s="89"/>
      <c r="D115" s="90"/>
      <c r="E115" s="76">
        <f>SUM(E108:E114)</f>
        <v>4217.4355960264902</v>
      </c>
      <c r="F115" s="40"/>
      <c r="G115" s="40"/>
    </row>
    <row r="116" spans="1:7" x14ac:dyDescent="0.2">
      <c r="A116" s="14" t="s">
        <v>3</v>
      </c>
      <c r="B116" s="15" t="s">
        <v>1</v>
      </c>
      <c r="C116" s="105">
        <v>46.32</v>
      </c>
      <c r="D116" s="16">
        <f>E115</f>
        <v>4217.4355960264902</v>
      </c>
      <c r="E116" s="16">
        <f>D116*C116/100</f>
        <v>1953.5161680794702</v>
      </c>
    </row>
    <row r="117" spans="1:7" s="9" customFormat="1" x14ac:dyDescent="0.2">
      <c r="A117" s="74" t="s">
        <v>124</v>
      </c>
      <c r="B117" s="131"/>
      <c r="C117" s="131"/>
      <c r="D117" s="132"/>
      <c r="E117" s="76">
        <f>E115+E116</f>
        <v>6170.9517641059601</v>
      </c>
      <c r="F117" s="40"/>
      <c r="G117" s="40"/>
    </row>
    <row r="118" spans="1:7" ht="13.5" thickBot="1" x14ac:dyDescent="0.25">
      <c r="A118" s="14" t="s">
        <v>4</v>
      </c>
      <c r="B118" s="15" t="s">
        <v>5</v>
      </c>
      <c r="C118" s="62">
        <v>2</v>
      </c>
      <c r="D118" s="16">
        <f>E117</f>
        <v>6170.9517641059601</v>
      </c>
      <c r="E118" s="16">
        <f>C118*D118</f>
        <v>12341.90352821192</v>
      </c>
    </row>
    <row r="119" spans="1:7" ht="13.5" thickBot="1" x14ac:dyDescent="0.25">
      <c r="D119" s="93" t="s">
        <v>93</v>
      </c>
      <c r="E119" s="45">
        <f>$B$70</f>
        <v>1</v>
      </c>
      <c r="F119" s="94">
        <f>E118*E119</f>
        <v>12341.90352821192</v>
      </c>
    </row>
    <row r="120" spans="1:7" ht="11.25" customHeight="1" x14ac:dyDescent="0.2"/>
    <row r="121" spans="1:7" ht="13.5" thickBot="1" x14ac:dyDescent="0.25">
      <c r="A121" s="7" t="s">
        <v>73</v>
      </c>
    </row>
    <row r="122" spans="1:7" ht="13.5" thickBot="1" x14ac:dyDescent="0.25">
      <c r="A122" s="53" t="s">
        <v>50</v>
      </c>
      <c r="B122" s="54" t="s">
        <v>51</v>
      </c>
      <c r="C122" s="54" t="s">
        <v>33</v>
      </c>
      <c r="D122" s="55" t="s">
        <v>118</v>
      </c>
      <c r="E122" s="55" t="s">
        <v>52</v>
      </c>
      <c r="F122" s="56" t="s">
        <v>53</v>
      </c>
    </row>
    <row r="123" spans="1:7" x14ac:dyDescent="0.2">
      <c r="A123" s="146" t="s">
        <v>131</v>
      </c>
      <c r="B123" s="12" t="s">
        <v>7</v>
      </c>
      <c r="C123" s="12">
        <v>1</v>
      </c>
      <c r="D123" s="13">
        <f>D108</f>
        <v>1988.69</v>
      </c>
      <c r="E123" s="13">
        <f>C123*D123</f>
        <v>1988.69</v>
      </c>
    </row>
    <row r="124" spans="1:7" x14ac:dyDescent="0.2">
      <c r="A124" s="146" t="s">
        <v>132</v>
      </c>
      <c r="B124" s="12" t="s">
        <v>7</v>
      </c>
      <c r="C124" s="12">
        <v>1</v>
      </c>
      <c r="D124" s="16">
        <f>D109</f>
        <v>1302</v>
      </c>
      <c r="E124" s="16"/>
    </row>
    <row r="125" spans="1:7" x14ac:dyDescent="0.2">
      <c r="A125" s="14" t="s">
        <v>6</v>
      </c>
      <c r="B125" s="15" t="s">
        <v>71</v>
      </c>
      <c r="C125" s="64">
        <v>160</v>
      </c>
      <c r="D125" s="14"/>
      <c r="E125" s="14"/>
    </row>
    <row r="126" spans="1:7" x14ac:dyDescent="0.2">
      <c r="A126" s="14"/>
      <c r="B126" s="15" t="s">
        <v>74</v>
      </c>
      <c r="C126" s="16">
        <f>C125*8/7</f>
        <v>182.85714285714286</v>
      </c>
      <c r="D126" s="16">
        <f>D123/220*0.2</f>
        <v>1.8079000000000001</v>
      </c>
      <c r="E126" s="16">
        <f>C126*D126</f>
        <v>330.58742857142857</v>
      </c>
    </row>
    <row r="127" spans="1:7" x14ac:dyDescent="0.2">
      <c r="A127" s="14" t="s">
        <v>28</v>
      </c>
      <c r="B127" s="15" t="s">
        <v>0</v>
      </c>
      <c r="C127" s="64">
        <v>36</v>
      </c>
      <c r="D127" s="16">
        <f>D123/220*2</f>
        <v>18.079000000000001</v>
      </c>
      <c r="E127" s="16">
        <f>C127*D127</f>
        <v>650.84400000000005</v>
      </c>
    </row>
    <row r="128" spans="1:7" x14ac:dyDescent="0.2">
      <c r="A128" s="14" t="s">
        <v>72</v>
      </c>
      <c r="B128" s="15" t="s">
        <v>71</v>
      </c>
      <c r="C128" s="64">
        <v>36</v>
      </c>
      <c r="D128" s="16"/>
      <c r="E128" s="16"/>
    </row>
    <row r="129" spans="1:7" x14ac:dyDescent="0.2">
      <c r="A129" s="14"/>
      <c r="B129" s="15" t="s">
        <v>74</v>
      </c>
      <c r="C129" s="16">
        <f>C128*8/7</f>
        <v>41.142857142857146</v>
      </c>
      <c r="D129" s="16">
        <f>D123/220*2*1.2</f>
        <v>21.694800000000001</v>
      </c>
      <c r="E129" s="16">
        <f>C129*D129</f>
        <v>892.58605714285727</v>
      </c>
    </row>
    <row r="130" spans="1:7" x14ac:dyDescent="0.2">
      <c r="A130" s="14" t="s">
        <v>29</v>
      </c>
      <c r="B130" s="15" t="s">
        <v>0</v>
      </c>
      <c r="C130" s="64"/>
      <c r="D130" s="16">
        <f>D123/220*1.5</f>
        <v>13.55925</v>
      </c>
      <c r="E130" s="16">
        <f>C130*D130</f>
        <v>0</v>
      </c>
    </row>
    <row r="131" spans="1:7" x14ac:dyDescent="0.2">
      <c r="A131" s="14" t="s">
        <v>107</v>
      </c>
      <c r="B131" s="15" t="s">
        <v>71</v>
      </c>
      <c r="C131" s="64"/>
      <c r="D131" s="16"/>
      <c r="E131" s="16"/>
    </row>
    <row r="132" spans="1:7" x14ac:dyDescent="0.2">
      <c r="A132" s="14"/>
      <c r="B132" s="15" t="s">
        <v>74</v>
      </c>
      <c r="C132" s="16">
        <f>C131*8/7</f>
        <v>0</v>
      </c>
      <c r="D132" s="16">
        <f>D123/220*1.5*1.2</f>
        <v>16.271100000000001</v>
      </c>
      <c r="E132" s="16">
        <f>C132*D132</f>
        <v>0</v>
      </c>
    </row>
    <row r="133" spans="1:7" ht="13.15" customHeight="1" x14ac:dyDescent="0.2">
      <c r="A133" s="14" t="s">
        <v>108</v>
      </c>
      <c r="B133" s="15" t="s">
        <v>27</v>
      </c>
      <c r="D133" s="16">
        <f>63/302*(SUM(E127:E132))</f>
        <v>321.97381986754971</v>
      </c>
      <c r="E133" s="16">
        <f>D133</f>
        <v>321.97381986754971</v>
      </c>
    </row>
    <row r="134" spans="1:7" x14ac:dyDescent="0.2">
      <c r="A134" s="14" t="s">
        <v>106</v>
      </c>
      <c r="B134" s="15"/>
      <c r="C134" s="66">
        <v>2</v>
      </c>
      <c r="D134" s="16"/>
      <c r="E134" s="16"/>
    </row>
    <row r="135" spans="1:7" x14ac:dyDescent="0.2">
      <c r="A135" s="149" t="s">
        <v>259</v>
      </c>
      <c r="B135" s="15" t="s">
        <v>1</v>
      </c>
      <c r="C135" s="15">
        <v>0</v>
      </c>
      <c r="D135" s="60">
        <f>IF(C134=2,SUM(E123:E133),IF(C134=1,SUM(E123:E133)*D124/D123,0))</f>
        <v>4184.6813055818357</v>
      </c>
      <c r="E135" s="16">
        <f>C135*D135/100</f>
        <v>0</v>
      </c>
    </row>
    <row r="136" spans="1:7" s="9" customFormat="1" x14ac:dyDescent="0.2">
      <c r="A136" s="88" t="s">
        <v>2</v>
      </c>
      <c r="B136" s="89"/>
      <c r="C136" s="89"/>
      <c r="D136" s="90"/>
      <c r="E136" s="91">
        <f>SUM(E123:E135)</f>
        <v>4184.6813055818357</v>
      </c>
      <c r="F136" s="40"/>
      <c r="G136" s="40"/>
    </row>
    <row r="137" spans="1:7" x14ac:dyDescent="0.2">
      <c r="A137" s="14" t="s">
        <v>3</v>
      </c>
      <c r="B137" s="15" t="s">
        <v>1</v>
      </c>
      <c r="C137" s="105">
        <v>46.32</v>
      </c>
      <c r="D137" s="16">
        <f>E136</f>
        <v>4184.6813055818357</v>
      </c>
      <c r="E137" s="16">
        <f>D137*C137/100</f>
        <v>1938.3443807455062</v>
      </c>
    </row>
    <row r="138" spans="1:7" s="9" customFormat="1" x14ac:dyDescent="0.2">
      <c r="A138" s="88" t="s">
        <v>124</v>
      </c>
      <c r="B138" s="89"/>
      <c r="C138" s="89"/>
      <c r="D138" s="90"/>
      <c r="E138" s="91">
        <f>E136+E137</f>
        <v>6123.0256863273416</v>
      </c>
      <c r="F138" s="40"/>
      <c r="G138" s="40"/>
    </row>
    <row r="139" spans="1:7" ht="13.5" thickBot="1" x14ac:dyDescent="0.25">
      <c r="A139" s="14" t="s">
        <v>4</v>
      </c>
      <c r="B139" s="15" t="s">
        <v>5</v>
      </c>
      <c r="C139" s="62">
        <v>1</v>
      </c>
      <c r="D139" s="16">
        <f>E138</f>
        <v>6123.0256863273416</v>
      </c>
      <c r="E139" s="16">
        <f>C139*D139</f>
        <v>6123.0256863273416</v>
      </c>
    </row>
    <row r="140" spans="1:7" ht="13.5" thickBot="1" x14ac:dyDescent="0.25">
      <c r="D140" s="93" t="s">
        <v>93</v>
      </c>
      <c r="E140" s="45">
        <v>0.22</v>
      </c>
      <c r="F140" s="94">
        <f>E139*E140</f>
        <v>1347.0656509920152</v>
      </c>
    </row>
    <row r="141" spans="1:7" x14ac:dyDescent="0.2">
      <c r="D141" s="148" t="s">
        <v>269</v>
      </c>
      <c r="E141" s="52"/>
      <c r="F141" s="31"/>
      <c r="G141" s="7"/>
    </row>
    <row r="142" spans="1:7" ht="13.5" thickBot="1" x14ac:dyDescent="0.25">
      <c r="A142" s="5" t="s">
        <v>282</v>
      </c>
      <c r="G142" s="7"/>
    </row>
    <row r="143" spans="1:7" ht="13.5" thickBot="1" x14ac:dyDescent="0.25">
      <c r="A143" s="53" t="s">
        <v>50</v>
      </c>
      <c r="B143" s="54" t="s">
        <v>51</v>
      </c>
      <c r="C143" s="54" t="s">
        <v>33</v>
      </c>
      <c r="D143" s="55" t="s">
        <v>118</v>
      </c>
      <c r="E143" s="55" t="s">
        <v>52</v>
      </c>
      <c r="F143" s="56" t="s">
        <v>53</v>
      </c>
      <c r="G143" s="7"/>
    </row>
    <row r="144" spans="1:7" x14ac:dyDescent="0.2">
      <c r="A144" s="11" t="s">
        <v>105</v>
      </c>
      <c r="B144" s="12" t="s">
        <v>7</v>
      </c>
      <c r="C144" s="12">
        <v>1</v>
      </c>
      <c r="D144" s="160">
        <v>3297.33</v>
      </c>
      <c r="E144" s="13">
        <f>C144*D144</f>
        <v>3297.33</v>
      </c>
      <c r="G144" s="7"/>
    </row>
    <row r="145" spans="1:7" x14ac:dyDescent="0.2">
      <c r="A145" s="14" t="s">
        <v>28</v>
      </c>
      <c r="B145" s="15" t="s">
        <v>0</v>
      </c>
      <c r="C145" s="64">
        <v>20</v>
      </c>
      <c r="D145" s="16">
        <f>D144/220*2</f>
        <v>29.975727272727273</v>
      </c>
      <c r="E145" s="16">
        <f>C145*D145</f>
        <v>599.51454545454544</v>
      </c>
      <c r="G145" s="7"/>
    </row>
    <row r="146" spans="1:7" x14ac:dyDescent="0.2">
      <c r="A146" s="14" t="s">
        <v>29</v>
      </c>
      <c r="B146" s="15" t="s">
        <v>0</v>
      </c>
      <c r="C146" s="64">
        <v>12</v>
      </c>
      <c r="D146" s="16">
        <f>D144/220*1.5</f>
        <v>22.481795454545455</v>
      </c>
      <c r="E146" s="16">
        <f>C146*D146</f>
        <v>269.78154545454549</v>
      </c>
      <c r="G146" s="7"/>
    </row>
    <row r="147" spans="1:7" x14ac:dyDescent="0.2">
      <c r="A147" s="14" t="s">
        <v>108</v>
      </c>
      <c r="B147" s="15" t="s">
        <v>27</v>
      </c>
      <c r="D147" s="16">
        <f>63/302*(SUM(E145:E146))</f>
        <v>181.3432242624925</v>
      </c>
      <c r="E147" s="16">
        <f>D147</f>
        <v>181.3432242624925</v>
      </c>
      <c r="G147" s="7"/>
    </row>
    <row r="148" spans="1:7" x14ac:dyDescent="0.2">
      <c r="A148" s="149" t="s">
        <v>259</v>
      </c>
      <c r="B148" s="15" t="s">
        <v>1</v>
      </c>
      <c r="C148" s="15">
        <v>30</v>
      </c>
      <c r="D148" s="60">
        <f>SUM(E144:E147)</f>
        <v>4347.9693151715828</v>
      </c>
      <c r="E148" s="16">
        <f>C148*D148/100</f>
        <v>1304.3907945514748</v>
      </c>
      <c r="G148" s="7"/>
    </row>
    <row r="149" spans="1:7" x14ac:dyDescent="0.2">
      <c r="A149" s="88" t="s">
        <v>2</v>
      </c>
      <c r="B149" s="89"/>
      <c r="C149" s="89"/>
      <c r="D149" s="90"/>
      <c r="E149" s="91">
        <f>SUM(E144:E148)</f>
        <v>5652.3601097230576</v>
      </c>
      <c r="G149" s="7"/>
    </row>
    <row r="150" spans="1:7" x14ac:dyDescent="0.2">
      <c r="A150" s="14" t="s">
        <v>3</v>
      </c>
      <c r="B150" s="15" t="s">
        <v>1</v>
      </c>
      <c r="C150" s="105">
        <v>46.32</v>
      </c>
      <c r="D150" s="16">
        <f>E149</f>
        <v>5652.3601097230576</v>
      </c>
      <c r="E150" s="16">
        <f>D150*C150/100</f>
        <v>2618.1732028237202</v>
      </c>
      <c r="G150" s="7"/>
    </row>
    <row r="151" spans="1:7" x14ac:dyDescent="0.2">
      <c r="A151" s="88" t="s">
        <v>58</v>
      </c>
      <c r="B151" s="89"/>
      <c r="C151" s="89"/>
      <c r="D151" s="90"/>
      <c r="E151" s="91">
        <f>E149+E150</f>
        <v>8270.5333125467769</v>
      </c>
      <c r="G151" s="7"/>
    </row>
    <row r="152" spans="1:7" ht="13.5" thickBot="1" x14ac:dyDescent="0.25">
      <c r="A152" s="14" t="s">
        <v>4</v>
      </c>
      <c r="B152" s="15" t="s">
        <v>5</v>
      </c>
      <c r="C152" s="62">
        <v>1</v>
      </c>
      <c r="D152" s="16">
        <f>E151</f>
        <v>8270.5333125467769</v>
      </c>
      <c r="E152" s="16">
        <f>C152*D152</f>
        <v>8270.5333125467769</v>
      </c>
      <c r="G152" s="7"/>
    </row>
    <row r="153" spans="1:7" ht="13.5" thickBot="1" x14ac:dyDescent="0.25">
      <c r="D153" s="93" t="s">
        <v>93</v>
      </c>
      <c r="E153" s="45">
        <f>$B$70</f>
        <v>1</v>
      </c>
      <c r="F153" s="94">
        <f>E152*E153</f>
        <v>8270.5333125467769</v>
      </c>
      <c r="G153" s="7"/>
    </row>
    <row r="154" spans="1:7" x14ac:dyDescent="0.2">
      <c r="D154" s="93"/>
      <c r="E154" s="52"/>
      <c r="F154" s="31"/>
      <c r="G154" s="7"/>
    </row>
    <row r="155" spans="1:7" x14ac:dyDescent="0.2">
      <c r="D155" s="93"/>
      <c r="E155" s="52"/>
      <c r="F155" s="31"/>
      <c r="G155" s="7"/>
    </row>
    <row r="156" spans="1:7" ht="13.5" thickBot="1" x14ac:dyDescent="0.25">
      <c r="A156" s="5" t="s">
        <v>283</v>
      </c>
      <c r="G156" s="7"/>
    </row>
    <row r="157" spans="1:7" ht="13.5" thickBot="1" x14ac:dyDescent="0.25">
      <c r="A157" s="53" t="s">
        <v>50</v>
      </c>
      <c r="B157" s="54" t="s">
        <v>51</v>
      </c>
      <c r="C157" s="54" t="s">
        <v>33</v>
      </c>
      <c r="D157" s="55" t="s">
        <v>118</v>
      </c>
      <c r="E157" s="55" t="s">
        <v>52</v>
      </c>
      <c r="F157" s="56" t="s">
        <v>53</v>
      </c>
      <c r="G157" s="7"/>
    </row>
    <row r="158" spans="1:7" x14ac:dyDescent="0.2">
      <c r="A158" s="11" t="s">
        <v>105</v>
      </c>
      <c r="B158" s="12" t="s">
        <v>7</v>
      </c>
      <c r="C158" s="12">
        <v>1</v>
      </c>
      <c r="D158" s="160">
        <v>1790.76</v>
      </c>
      <c r="E158" s="13">
        <f>C158*D158</f>
        <v>1790.76</v>
      </c>
      <c r="G158" s="7"/>
    </row>
    <row r="159" spans="1:7" x14ac:dyDescent="0.2">
      <c r="A159" s="14" t="s">
        <v>28</v>
      </c>
      <c r="B159" s="15" t="s">
        <v>0</v>
      </c>
      <c r="C159" s="64">
        <v>20</v>
      </c>
      <c r="D159" s="16">
        <f>D158/220*2</f>
        <v>16.279636363636364</v>
      </c>
      <c r="E159" s="16">
        <f>C159*D159</f>
        <v>325.5927272727273</v>
      </c>
      <c r="G159" s="7"/>
    </row>
    <row r="160" spans="1:7" x14ac:dyDescent="0.2">
      <c r="A160" s="14" t="s">
        <v>29</v>
      </c>
      <c r="B160" s="15" t="s">
        <v>0</v>
      </c>
      <c r="C160" s="64">
        <v>12</v>
      </c>
      <c r="D160" s="16">
        <f>D158/220*1.5</f>
        <v>12.209727272727273</v>
      </c>
      <c r="E160" s="16">
        <f>C160*D160</f>
        <v>146.51672727272728</v>
      </c>
      <c r="G160" s="7"/>
    </row>
    <row r="161" spans="1:7" x14ac:dyDescent="0.2">
      <c r="A161" s="14" t="s">
        <v>108</v>
      </c>
      <c r="B161" s="15" t="s">
        <v>27</v>
      </c>
      <c r="D161" s="16">
        <f>63/302*(SUM(E159:E160))</f>
        <v>98.486409391932582</v>
      </c>
      <c r="E161" s="16">
        <f>D161</f>
        <v>98.486409391932582</v>
      </c>
      <c r="G161" s="7"/>
    </row>
    <row r="162" spans="1:7" x14ac:dyDescent="0.2">
      <c r="A162" s="149" t="s">
        <v>259</v>
      </c>
      <c r="B162" s="15" t="s">
        <v>1</v>
      </c>
      <c r="C162" s="15">
        <v>30</v>
      </c>
      <c r="D162" s="60">
        <f>SUM(E158:E161)</f>
        <v>2361.3558639373873</v>
      </c>
      <c r="E162" s="16">
        <f>C162*D162/100</f>
        <v>708.40675918121622</v>
      </c>
      <c r="G162" s="7"/>
    </row>
    <row r="163" spans="1:7" x14ac:dyDescent="0.2">
      <c r="A163" s="88" t="s">
        <v>2</v>
      </c>
      <c r="B163" s="89"/>
      <c r="C163" s="89"/>
      <c r="D163" s="90"/>
      <c r="E163" s="91">
        <f>SUM(E158:E162)</f>
        <v>3069.7626231186036</v>
      </c>
      <c r="G163" s="7"/>
    </row>
    <row r="164" spans="1:7" x14ac:dyDescent="0.2">
      <c r="A164" s="14" t="s">
        <v>3</v>
      </c>
      <c r="B164" s="15" t="s">
        <v>1</v>
      </c>
      <c r="C164" s="105">
        <v>46.32</v>
      </c>
      <c r="D164" s="16">
        <f>E163</f>
        <v>3069.7626231186036</v>
      </c>
      <c r="E164" s="16">
        <f>D164*C164/100</f>
        <v>1421.9140470285374</v>
      </c>
      <c r="G164" s="7"/>
    </row>
    <row r="165" spans="1:7" x14ac:dyDescent="0.2">
      <c r="A165" s="88" t="s">
        <v>58</v>
      </c>
      <c r="B165" s="89"/>
      <c r="C165" s="89"/>
      <c r="D165" s="90"/>
      <c r="E165" s="91">
        <f>E163+E164</f>
        <v>4491.6766701471406</v>
      </c>
      <c r="G165" s="7"/>
    </row>
    <row r="166" spans="1:7" ht="13.5" thickBot="1" x14ac:dyDescent="0.25">
      <c r="A166" s="14" t="s">
        <v>4</v>
      </c>
      <c r="B166" s="15" t="s">
        <v>5</v>
      </c>
      <c r="C166" s="62">
        <v>1</v>
      </c>
      <c r="D166" s="16">
        <f>E165</f>
        <v>4491.6766701471406</v>
      </c>
      <c r="E166" s="16">
        <f>C166*D166</f>
        <v>4491.6766701471406</v>
      </c>
      <c r="G166" s="7"/>
    </row>
    <row r="167" spans="1:7" ht="13.5" thickBot="1" x14ac:dyDescent="0.25">
      <c r="D167" s="93" t="s">
        <v>93</v>
      </c>
      <c r="E167" s="45">
        <f>$B$70</f>
        <v>1</v>
      </c>
      <c r="F167" s="94">
        <f>E166*E167</f>
        <v>4491.6766701471406</v>
      </c>
      <c r="G167" s="7"/>
    </row>
    <row r="168" spans="1:7" x14ac:dyDescent="0.2">
      <c r="D168" s="93"/>
      <c r="E168" s="52"/>
      <c r="F168" s="31"/>
      <c r="G168" s="7"/>
    </row>
    <row r="169" spans="1:7" ht="13.5" thickBot="1" x14ac:dyDescent="0.25">
      <c r="A169" s="5" t="s">
        <v>133</v>
      </c>
      <c r="G169" s="7"/>
    </row>
    <row r="170" spans="1:7" ht="13.5" thickBot="1" x14ac:dyDescent="0.25">
      <c r="A170" s="53" t="s">
        <v>50</v>
      </c>
      <c r="B170" s="54" t="s">
        <v>51</v>
      </c>
      <c r="C170" s="54" t="s">
        <v>33</v>
      </c>
      <c r="D170" s="55" t="s">
        <v>118</v>
      </c>
      <c r="E170" s="55" t="s">
        <v>52</v>
      </c>
      <c r="F170" s="56" t="s">
        <v>53</v>
      </c>
      <c r="G170" s="7"/>
    </row>
    <row r="171" spans="1:7" x14ac:dyDescent="0.2">
      <c r="A171" s="11" t="s">
        <v>105</v>
      </c>
      <c r="B171" s="12" t="s">
        <v>7</v>
      </c>
      <c r="C171" s="12">
        <v>1</v>
      </c>
      <c r="D171" s="63">
        <v>8545.9</v>
      </c>
      <c r="E171" s="13">
        <f>C171*D171</f>
        <v>8545.9</v>
      </c>
      <c r="G171" s="7"/>
    </row>
    <row r="172" spans="1:7" x14ac:dyDescent="0.2">
      <c r="A172" s="14" t="s">
        <v>28</v>
      </c>
      <c r="B172" s="15" t="s">
        <v>0</v>
      </c>
      <c r="C172" s="64"/>
      <c r="D172" s="16">
        <f>D171/220*2</f>
        <v>77.69</v>
      </c>
      <c r="E172" s="16">
        <f>C172*D172</f>
        <v>0</v>
      </c>
      <c r="G172" s="7"/>
    </row>
    <row r="173" spans="1:7" x14ac:dyDescent="0.2">
      <c r="A173" s="14" t="s">
        <v>29</v>
      </c>
      <c r="B173" s="15" t="s">
        <v>0</v>
      </c>
      <c r="C173" s="64"/>
      <c r="D173" s="16">
        <f>D171/220*1.5</f>
        <v>58.267499999999998</v>
      </c>
      <c r="E173" s="16">
        <f>C173*D173</f>
        <v>0</v>
      </c>
      <c r="G173" s="7"/>
    </row>
    <row r="174" spans="1:7" x14ac:dyDescent="0.2">
      <c r="A174" s="14" t="s">
        <v>108</v>
      </c>
      <c r="B174" s="15" t="s">
        <v>27</v>
      </c>
      <c r="D174" s="16">
        <f>63/302*(SUM(E172:E173))</f>
        <v>0</v>
      </c>
      <c r="E174" s="16">
        <f>D174</f>
        <v>0</v>
      </c>
      <c r="G174" s="7"/>
    </row>
    <row r="175" spans="1:7" x14ac:dyDescent="0.2">
      <c r="A175" s="149" t="s">
        <v>259</v>
      </c>
      <c r="B175" s="15" t="s">
        <v>1</v>
      </c>
      <c r="C175" s="15">
        <v>30</v>
      </c>
      <c r="D175" s="60">
        <f>SUM(E171:E174)</f>
        <v>8545.9</v>
      </c>
      <c r="E175" s="16">
        <f>C175*D175/100</f>
        <v>2563.77</v>
      </c>
      <c r="G175" s="7"/>
    </row>
    <row r="176" spans="1:7" x14ac:dyDescent="0.2">
      <c r="A176" s="88" t="s">
        <v>2</v>
      </c>
      <c r="B176" s="89"/>
      <c r="C176" s="89"/>
      <c r="D176" s="90"/>
      <c r="E176" s="91">
        <f>SUM(E171:E175)</f>
        <v>11109.67</v>
      </c>
      <c r="G176" s="7"/>
    </row>
    <row r="177" spans="1:7" x14ac:dyDescent="0.2">
      <c r="A177" s="14" t="s">
        <v>3</v>
      </c>
      <c r="B177" s="15" t="s">
        <v>1</v>
      </c>
      <c r="C177" s="105">
        <v>46.32</v>
      </c>
      <c r="D177" s="16">
        <f>E176</f>
        <v>11109.67</v>
      </c>
      <c r="E177" s="16">
        <f>D177*C177/100</f>
        <v>5145.9991440000003</v>
      </c>
      <c r="G177" s="7"/>
    </row>
    <row r="178" spans="1:7" x14ac:dyDescent="0.2">
      <c r="A178" s="88" t="s">
        <v>58</v>
      </c>
      <c r="B178" s="89"/>
      <c r="C178" s="89"/>
      <c r="D178" s="90"/>
      <c r="E178" s="91">
        <f>E176+E177</f>
        <v>16255.669144</v>
      </c>
      <c r="G178" s="7"/>
    </row>
    <row r="179" spans="1:7" ht="13.5" thickBot="1" x14ac:dyDescent="0.25">
      <c r="A179" s="14" t="s">
        <v>4</v>
      </c>
      <c r="B179" s="15" t="s">
        <v>5</v>
      </c>
      <c r="C179" s="62">
        <v>1</v>
      </c>
      <c r="D179" s="16">
        <f>E178</f>
        <v>16255.669144</v>
      </c>
      <c r="E179" s="16">
        <f>C179*D179</f>
        <v>16255.669144</v>
      </c>
      <c r="G179" s="7"/>
    </row>
    <row r="180" spans="1:7" ht="13.5" thickBot="1" x14ac:dyDescent="0.25">
      <c r="D180" s="93" t="s">
        <v>93</v>
      </c>
      <c r="E180" s="45">
        <v>0.3</v>
      </c>
      <c r="F180" s="94">
        <f>E179*E180</f>
        <v>4876.7007432</v>
      </c>
      <c r="G180" s="7"/>
    </row>
    <row r="181" spans="1:7" x14ac:dyDescent="0.2">
      <c r="D181" s="93"/>
      <c r="E181" s="52"/>
      <c r="F181" s="31"/>
      <c r="G181" s="7"/>
    </row>
    <row r="182" spans="1:7" ht="13.5" thickBot="1" x14ac:dyDescent="0.25">
      <c r="A182" s="5" t="s">
        <v>134</v>
      </c>
      <c r="G182" s="7"/>
    </row>
    <row r="183" spans="1:7" ht="13.5" thickBot="1" x14ac:dyDescent="0.25">
      <c r="A183" s="53" t="s">
        <v>50</v>
      </c>
      <c r="B183" s="54" t="s">
        <v>51</v>
      </c>
      <c r="C183" s="54" t="s">
        <v>33</v>
      </c>
      <c r="D183" s="55" t="s">
        <v>118</v>
      </c>
      <c r="E183" s="55" t="s">
        <v>52</v>
      </c>
      <c r="F183" s="56" t="s">
        <v>53</v>
      </c>
      <c r="G183" s="7"/>
    </row>
    <row r="184" spans="1:7" x14ac:dyDescent="0.2">
      <c r="A184" s="11" t="s">
        <v>105</v>
      </c>
      <c r="B184" s="12" t="s">
        <v>7</v>
      </c>
      <c r="C184" s="12">
        <v>1</v>
      </c>
      <c r="D184" s="63">
        <v>8602.1299999999992</v>
      </c>
      <c r="E184" s="13">
        <f>C184*D184</f>
        <v>8602.1299999999992</v>
      </c>
      <c r="G184" s="7"/>
    </row>
    <row r="185" spans="1:7" x14ac:dyDescent="0.2">
      <c r="A185" s="14" t="s">
        <v>28</v>
      </c>
      <c r="B185" s="15" t="s">
        <v>0</v>
      </c>
      <c r="C185" s="64"/>
      <c r="D185" s="16">
        <f>D184/220*2</f>
        <v>78.201181818181809</v>
      </c>
      <c r="E185" s="16">
        <f>C185*D185</f>
        <v>0</v>
      </c>
      <c r="G185" s="7"/>
    </row>
    <row r="186" spans="1:7" x14ac:dyDescent="0.2">
      <c r="A186" s="14" t="s">
        <v>29</v>
      </c>
      <c r="B186" s="15" t="s">
        <v>0</v>
      </c>
      <c r="C186" s="64"/>
      <c r="D186" s="16">
        <f>D184/220*1.5</f>
        <v>58.65088636363636</v>
      </c>
      <c r="E186" s="16">
        <f>C186*D186</f>
        <v>0</v>
      </c>
      <c r="G186" s="7"/>
    </row>
    <row r="187" spans="1:7" x14ac:dyDescent="0.2">
      <c r="A187" s="14" t="s">
        <v>108</v>
      </c>
      <c r="B187" s="15" t="s">
        <v>27</v>
      </c>
      <c r="D187" s="16">
        <f>63/302*(SUM(E185:E186))</f>
        <v>0</v>
      </c>
      <c r="E187" s="16">
        <f>D187</f>
        <v>0</v>
      </c>
      <c r="G187" s="7"/>
    </row>
    <row r="188" spans="1:7" x14ac:dyDescent="0.2">
      <c r="A188" s="149" t="s">
        <v>259</v>
      </c>
      <c r="B188" s="15" t="s">
        <v>1</v>
      </c>
      <c r="C188" s="15">
        <v>0</v>
      </c>
      <c r="D188" s="60">
        <f>SUM(E184:E187)</f>
        <v>8602.1299999999992</v>
      </c>
      <c r="E188" s="16">
        <f>C188*D188/100</f>
        <v>0</v>
      </c>
      <c r="G188" s="7"/>
    </row>
    <row r="189" spans="1:7" x14ac:dyDescent="0.2">
      <c r="A189" s="88" t="s">
        <v>2</v>
      </c>
      <c r="B189" s="89"/>
      <c r="C189" s="89"/>
      <c r="D189" s="90"/>
      <c r="E189" s="91">
        <f>SUM(E184:E188)</f>
        <v>8602.1299999999992</v>
      </c>
    </row>
    <row r="190" spans="1:7" x14ac:dyDescent="0.2">
      <c r="A190" s="14" t="s">
        <v>3</v>
      </c>
      <c r="B190" s="15" t="s">
        <v>1</v>
      </c>
      <c r="C190" s="105">
        <v>46.32</v>
      </c>
      <c r="D190" s="16">
        <f>E189</f>
        <v>8602.1299999999992</v>
      </c>
      <c r="E190" s="16">
        <f>D190*C190/100</f>
        <v>3984.5066160000001</v>
      </c>
    </row>
    <row r="191" spans="1:7" ht="11.25" customHeight="1" x14ac:dyDescent="0.2">
      <c r="A191" s="88" t="s">
        <v>58</v>
      </c>
      <c r="B191" s="89"/>
      <c r="C191" s="89"/>
      <c r="D191" s="90"/>
      <c r="E191" s="91">
        <f>E189+E190</f>
        <v>12586.636616</v>
      </c>
      <c r="G191" s="7"/>
    </row>
    <row r="192" spans="1:7" ht="13.5" thickBot="1" x14ac:dyDescent="0.25">
      <c r="A192" s="14" t="s">
        <v>4</v>
      </c>
      <c r="B192" s="15" t="s">
        <v>5</v>
      </c>
      <c r="C192" s="62">
        <v>1</v>
      </c>
      <c r="D192" s="16">
        <f>E191</f>
        <v>12586.636616</v>
      </c>
      <c r="E192" s="16">
        <f>C192*D192</f>
        <v>12586.636616</v>
      </c>
      <c r="G192" s="7"/>
    </row>
    <row r="193" spans="1:7" ht="13.5" thickBot="1" x14ac:dyDescent="0.25">
      <c r="D193" s="93" t="s">
        <v>93</v>
      </c>
      <c r="E193" s="45">
        <v>0.3</v>
      </c>
      <c r="F193" s="94">
        <f>E192*E193</f>
        <v>3775.9909847999998</v>
      </c>
      <c r="G193" s="7"/>
    </row>
    <row r="194" spans="1:7" ht="13.5" thickBot="1" x14ac:dyDescent="0.25">
      <c r="A194" s="5" t="s">
        <v>135</v>
      </c>
      <c r="B194" s="147"/>
      <c r="C194" s="5"/>
      <c r="D194" s="5"/>
      <c r="E194" s="5"/>
      <c r="F194" s="148"/>
      <c r="G194" s="7"/>
    </row>
    <row r="195" spans="1:7" ht="13.5" thickBot="1" x14ac:dyDescent="0.25">
      <c r="A195" s="53" t="s">
        <v>50</v>
      </c>
      <c r="B195" s="54" t="s">
        <v>51</v>
      </c>
      <c r="C195" s="54" t="s">
        <v>33</v>
      </c>
      <c r="D195" s="55" t="s">
        <v>118</v>
      </c>
      <c r="E195" s="55" t="s">
        <v>52</v>
      </c>
      <c r="F195" s="56" t="s">
        <v>53</v>
      </c>
      <c r="G195" s="7"/>
    </row>
    <row r="196" spans="1:7" x14ac:dyDescent="0.2">
      <c r="A196" s="149" t="s">
        <v>64</v>
      </c>
      <c r="B196" s="150" t="s">
        <v>27</v>
      </c>
      <c r="C196" s="151">
        <v>1</v>
      </c>
      <c r="D196" s="152">
        <v>3.9</v>
      </c>
      <c r="E196" s="153"/>
      <c r="F196" s="148"/>
      <c r="G196" s="7"/>
    </row>
    <row r="197" spans="1:7" x14ac:dyDescent="0.2">
      <c r="A197" s="149" t="s">
        <v>65</v>
      </c>
      <c r="B197" s="150" t="s">
        <v>66</v>
      </c>
      <c r="C197" s="154">
        <v>22</v>
      </c>
      <c r="D197" s="153"/>
      <c r="E197" s="153"/>
      <c r="F197" s="148"/>
      <c r="G197" s="7"/>
    </row>
    <row r="198" spans="1:7" ht="13.5" thickBot="1" x14ac:dyDescent="0.25">
      <c r="A198" s="149" t="s">
        <v>194</v>
      </c>
      <c r="B198" s="150" t="s">
        <v>8</v>
      </c>
      <c r="C198" s="155">
        <f>$C$197*2*(9)</f>
        <v>396</v>
      </c>
      <c r="D198" s="156">
        <f>IFERROR((($C$197*2*$D$196)-(E158*0.06*C197/26))/($C$197*2),"-")</f>
        <v>1.8337384615384615</v>
      </c>
      <c r="E198" s="153">
        <f>IFERROR(C198*D198,"-")</f>
        <v>726.16043076923074</v>
      </c>
      <c r="F198" s="148"/>
      <c r="G198" s="7"/>
    </row>
    <row r="199" spans="1:7" ht="13.5" thickBot="1" x14ac:dyDescent="0.25">
      <c r="A199" s="5"/>
      <c r="B199" s="5"/>
      <c r="C199" s="5"/>
      <c r="D199" s="148"/>
      <c r="E199" s="148"/>
      <c r="F199" s="20">
        <f>SUM(E198:E198)</f>
        <v>726.16043076923074</v>
      </c>
      <c r="G199" s="7"/>
    </row>
    <row r="200" spans="1:7" ht="13.5" thickBot="1" x14ac:dyDescent="0.25">
      <c r="A200" s="5" t="s">
        <v>289</v>
      </c>
      <c r="B200" s="5"/>
      <c r="C200" s="5"/>
      <c r="D200" s="148"/>
      <c r="E200" s="148"/>
      <c r="F200" s="21"/>
      <c r="G200" s="7"/>
    </row>
    <row r="201" spans="1:7" ht="13.5" thickBot="1" x14ac:dyDescent="0.25">
      <c r="A201" s="53" t="s">
        <v>50</v>
      </c>
      <c r="B201" s="54" t="s">
        <v>51</v>
      </c>
      <c r="C201" s="54" t="s">
        <v>33</v>
      </c>
      <c r="D201" s="55" t="s">
        <v>118</v>
      </c>
      <c r="E201" s="55" t="s">
        <v>52</v>
      </c>
      <c r="F201" s="56" t="s">
        <v>53</v>
      </c>
      <c r="G201" s="7"/>
    </row>
    <row r="202" spans="1:7" x14ac:dyDescent="0.2">
      <c r="A202" s="149" t="s">
        <v>196</v>
      </c>
      <c r="B202" s="150" t="s">
        <v>9</v>
      </c>
      <c r="C202" s="161">
        <v>1</v>
      </c>
      <c r="D202" s="162">
        <v>22</v>
      </c>
      <c r="E202" s="163">
        <f>C202*D202</f>
        <v>22</v>
      </c>
      <c r="F202" s="21"/>
      <c r="G202" s="7"/>
    </row>
    <row r="203" spans="1:7" x14ac:dyDescent="0.2">
      <c r="A203" s="149" t="s">
        <v>197</v>
      </c>
      <c r="B203" s="150" t="s">
        <v>66</v>
      </c>
      <c r="C203" s="161">
        <v>22</v>
      </c>
      <c r="D203" s="162"/>
      <c r="E203" s="163"/>
      <c r="F203" s="21"/>
      <c r="G203" s="7"/>
    </row>
    <row r="204" spans="1:7" ht="13.5" thickBot="1" x14ac:dyDescent="0.25">
      <c r="A204" s="149" t="s">
        <v>47</v>
      </c>
      <c r="B204" s="150" t="s">
        <v>8</v>
      </c>
      <c r="C204" s="161">
        <f>9*22</f>
        <v>198</v>
      </c>
      <c r="D204" s="162">
        <f>D202-18.2*0.19</f>
        <v>18.542000000000002</v>
      </c>
      <c r="E204" s="163">
        <f>C204*D204</f>
        <v>3671.3160000000003</v>
      </c>
      <c r="F204" s="21"/>
      <c r="G204" s="7"/>
    </row>
    <row r="205" spans="1:7" ht="13.5" thickBot="1" x14ac:dyDescent="0.25">
      <c r="A205" s="5"/>
      <c r="B205" s="5"/>
      <c r="C205" s="5"/>
      <c r="D205" s="148"/>
      <c r="E205" s="148"/>
      <c r="F205" s="20">
        <f>E204</f>
        <v>3671.3160000000003</v>
      </c>
      <c r="G205" s="7"/>
    </row>
    <row r="206" spans="1:7" ht="13.5" thickBot="1" x14ac:dyDescent="0.25">
      <c r="G206" s="7"/>
    </row>
    <row r="207" spans="1:7" ht="13.5" thickBot="1" x14ac:dyDescent="0.25">
      <c r="A207" s="22" t="s">
        <v>67</v>
      </c>
      <c r="B207" s="23"/>
      <c r="C207" s="23"/>
      <c r="D207" s="24"/>
      <c r="E207" s="25"/>
      <c r="F207" s="20">
        <f>F205+F199+F193+F180+F167+F153+F140+F119+F104+F85</f>
        <v>64511.557729278065</v>
      </c>
      <c r="G207" s="7"/>
    </row>
    <row r="209" spans="1:7" x14ac:dyDescent="0.2">
      <c r="A209" s="9" t="s">
        <v>35</v>
      </c>
      <c r="G209" s="7"/>
    </row>
    <row r="210" spans="1:7" ht="11.25" customHeight="1" x14ac:dyDescent="0.2">
      <c r="G210" s="7"/>
    </row>
    <row r="211" spans="1:7" ht="13.9" customHeight="1" x14ac:dyDescent="0.2">
      <c r="A211" s="5" t="s">
        <v>136</v>
      </c>
      <c r="G211" s="7"/>
    </row>
    <row r="212" spans="1:7" ht="11.25" customHeight="1" thickBot="1" x14ac:dyDescent="0.25">
      <c r="G212" s="7"/>
    </row>
    <row r="213" spans="1:7" ht="27.75" customHeight="1" thickBot="1" x14ac:dyDescent="0.25">
      <c r="A213" s="80" t="s">
        <v>50</v>
      </c>
      <c r="B213" s="81" t="s">
        <v>51</v>
      </c>
      <c r="C213" s="237" t="s">
        <v>125</v>
      </c>
      <c r="D213" s="82" t="s">
        <v>118</v>
      </c>
      <c r="E213" s="82" t="s">
        <v>52</v>
      </c>
      <c r="F213" s="56" t="s">
        <v>53</v>
      </c>
      <c r="G213" s="7"/>
    </row>
    <row r="214" spans="1:7" ht="15" x14ac:dyDescent="0.2">
      <c r="A214" s="236" t="s">
        <v>137</v>
      </c>
      <c r="B214" s="236" t="s">
        <v>154</v>
      </c>
      <c r="C214" s="73">
        <v>12</v>
      </c>
      <c r="D214" s="65">
        <v>80</v>
      </c>
      <c r="E214" s="16">
        <f>IFERROR(D214/C214,0)</f>
        <v>6.666666666666667</v>
      </c>
      <c r="G214" s="7"/>
    </row>
    <row r="215" spans="1:7" ht="13.15" customHeight="1" x14ac:dyDescent="0.2">
      <c r="A215" s="236" t="s">
        <v>138</v>
      </c>
      <c r="B215" s="236" t="s">
        <v>154</v>
      </c>
      <c r="C215" s="73">
        <v>12</v>
      </c>
      <c r="D215" s="65">
        <v>65</v>
      </c>
      <c r="E215" s="16">
        <f t="shared" ref="E215:E233" si="1">IFERROR(D215/C215,0)</f>
        <v>5.416666666666667</v>
      </c>
      <c r="G215" s="7"/>
    </row>
    <row r="216" spans="1:7" ht="15" x14ac:dyDescent="0.2">
      <c r="A216" s="236" t="s">
        <v>139</v>
      </c>
      <c r="B216" s="236" t="s">
        <v>154</v>
      </c>
      <c r="C216" s="73">
        <v>12</v>
      </c>
      <c r="D216" s="65">
        <v>87</v>
      </c>
      <c r="E216" s="16">
        <f t="shared" si="1"/>
        <v>7.25</v>
      </c>
      <c r="G216" s="7"/>
    </row>
    <row r="217" spans="1:7" ht="13.15" customHeight="1" x14ac:dyDescent="0.2">
      <c r="A217" s="236" t="s">
        <v>140</v>
      </c>
      <c r="B217" s="236" t="s">
        <v>155</v>
      </c>
      <c r="C217" s="73">
        <v>6</v>
      </c>
      <c r="D217" s="65">
        <v>132</v>
      </c>
      <c r="E217" s="16">
        <f t="shared" si="1"/>
        <v>22</v>
      </c>
      <c r="G217" s="7"/>
    </row>
    <row r="218" spans="1:7" ht="13.9" customHeight="1" x14ac:dyDescent="0.2">
      <c r="A218" s="236" t="s">
        <v>141</v>
      </c>
      <c r="B218" s="236" t="s">
        <v>154</v>
      </c>
      <c r="C218" s="73">
        <v>6</v>
      </c>
      <c r="D218" s="65">
        <v>350</v>
      </c>
      <c r="E218" s="16">
        <f t="shared" si="1"/>
        <v>58.333333333333336</v>
      </c>
      <c r="G218" s="7"/>
    </row>
    <row r="219" spans="1:7" ht="13.15" customHeight="1" x14ac:dyDescent="0.2">
      <c r="A219" s="236" t="s">
        <v>142</v>
      </c>
      <c r="B219" s="236" t="s">
        <v>156</v>
      </c>
      <c r="C219" s="73">
        <v>6</v>
      </c>
      <c r="D219" s="65">
        <v>150</v>
      </c>
      <c r="E219" s="16">
        <f t="shared" si="1"/>
        <v>25</v>
      </c>
    </row>
    <row r="220" spans="1:7" ht="15" x14ac:dyDescent="0.2">
      <c r="A220" s="236" t="s">
        <v>143</v>
      </c>
      <c r="B220" s="236" t="s">
        <v>154</v>
      </c>
      <c r="C220" s="73">
        <v>4</v>
      </c>
      <c r="D220" s="65">
        <v>50</v>
      </c>
      <c r="E220" s="16">
        <f t="shared" si="1"/>
        <v>12.5</v>
      </c>
    </row>
    <row r="221" spans="1:7" s="1" customFormat="1" ht="15" x14ac:dyDescent="0.2">
      <c r="A221" s="236" t="s">
        <v>144</v>
      </c>
      <c r="B221" s="236" t="s">
        <v>155</v>
      </c>
      <c r="C221" s="73">
        <v>4</v>
      </c>
      <c r="D221" s="65">
        <v>72</v>
      </c>
      <c r="E221" s="16">
        <f t="shared" si="1"/>
        <v>18</v>
      </c>
      <c r="F221" s="35"/>
      <c r="G221" s="35"/>
    </row>
    <row r="222" spans="1:7" ht="15" x14ac:dyDescent="0.2">
      <c r="A222" s="236" t="s">
        <v>145</v>
      </c>
      <c r="B222" s="236" t="s">
        <v>155</v>
      </c>
      <c r="C222" s="73">
        <v>4</v>
      </c>
      <c r="D222" s="65">
        <v>428</v>
      </c>
      <c r="E222" s="16">
        <f t="shared" si="1"/>
        <v>107</v>
      </c>
    </row>
    <row r="223" spans="1:7" ht="13.15" customHeight="1" x14ac:dyDescent="0.2">
      <c r="A223" s="236" t="s">
        <v>146</v>
      </c>
      <c r="B223" s="236" t="s">
        <v>155</v>
      </c>
      <c r="C223" s="73">
        <v>4</v>
      </c>
      <c r="D223" s="65">
        <v>45</v>
      </c>
      <c r="E223" s="16">
        <f t="shared" si="1"/>
        <v>11.25</v>
      </c>
    </row>
    <row r="224" spans="1:7" ht="15" x14ac:dyDescent="0.2">
      <c r="A224" s="236" t="s">
        <v>147</v>
      </c>
      <c r="B224" s="236" t="s">
        <v>154</v>
      </c>
      <c r="C224" s="73">
        <v>12</v>
      </c>
      <c r="D224" s="65">
        <v>415</v>
      </c>
      <c r="E224" s="16">
        <f t="shared" si="1"/>
        <v>34.583333333333336</v>
      </c>
    </row>
    <row r="225" spans="1:6" ht="15" x14ac:dyDescent="0.2">
      <c r="A225" s="236" t="s">
        <v>148</v>
      </c>
      <c r="B225" s="236" t="s">
        <v>154</v>
      </c>
      <c r="C225" s="73">
        <v>12</v>
      </c>
      <c r="D225" s="65">
        <v>200</v>
      </c>
      <c r="E225" s="16">
        <f t="shared" si="1"/>
        <v>16.666666666666668</v>
      </c>
    </row>
    <row r="226" spans="1:6" ht="15" x14ac:dyDescent="0.2">
      <c r="A226" s="236" t="s">
        <v>149</v>
      </c>
      <c r="B226" s="236" t="s">
        <v>154</v>
      </c>
      <c r="C226" s="73">
        <v>12</v>
      </c>
      <c r="D226" s="65">
        <v>128</v>
      </c>
      <c r="E226" s="16">
        <f t="shared" si="1"/>
        <v>10.666666666666666</v>
      </c>
    </row>
    <row r="227" spans="1:6" ht="15" x14ac:dyDescent="0.2">
      <c r="A227" s="236" t="s">
        <v>150</v>
      </c>
      <c r="B227" s="236" t="s">
        <v>157</v>
      </c>
      <c r="C227" s="73">
        <v>12</v>
      </c>
      <c r="D227" s="65">
        <v>67</v>
      </c>
      <c r="E227" s="16">
        <f t="shared" si="1"/>
        <v>5.583333333333333</v>
      </c>
    </row>
    <row r="228" spans="1:6" ht="15" x14ac:dyDescent="0.2">
      <c r="A228" s="236" t="s">
        <v>151</v>
      </c>
      <c r="B228" s="236" t="s">
        <v>157</v>
      </c>
      <c r="C228" s="73">
        <v>12</v>
      </c>
      <c r="D228" s="65">
        <v>35</v>
      </c>
      <c r="E228" s="16">
        <f t="shared" si="1"/>
        <v>2.9166666666666665</v>
      </c>
    </row>
    <row r="229" spans="1:6" ht="15" x14ac:dyDescent="0.2">
      <c r="A229" s="236" t="s">
        <v>152</v>
      </c>
      <c r="B229" s="236" t="s">
        <v>154</v>
      </c>
      <c r="C229" s="73">
        <v>12</v>
      </c>
      <c r="D229" s="65">
        <v>129</v>
      </c>
      <c r="E229" s="16">
        <f t="shared" si="1"/>
        <v>10.75</v>
      </c>
    </row>
    <row r="230" spans="1:6" ht="30" x14ac:dyDescent="0.2">
      <c r="A230" s="236" t="s">
        <v>153</v>
      </c>
      <c r="B230" s="236" t="s">
        <v>154</v>
      </c>
      <c r="C230" s="73">
        <v>12</v>
      </c>
      <c r="D230" s="65">
        <v>620</v>
      </c>
      <c r="E230" s="16">
        <f t="shared" si="1"/>
        <v>51.666666666666664</v>
      </c>
    </row>
    <row r="231" spans="1:6" ht="15" x14ac:dyDescent="0.25">
      <c r="A231" s="238" t="s">
        <v>158</v>
      </c>
      <c r="B231" s="238" t="s">
        <v>155</v>
      </c>
      <c r="C231" s="73">
        <v>12</v>
      </c>
      <c r="D231" s="65">
        <v>1000</v>
      </c>
      <c r="E231" s="16">
        <f t="shared" si="1"/>
        <v>83.333333333333329</v>
      </c>
    </row>
    <row r="232" spans="1:6" x14ac:dyDescent="0.2">
      <c r="A232" s="14" t="s">
        <v>49</v>
      </c>
      <c r="B232" s="15" t="s">
        <v>39</v>
      </c>
      <c r="C232" s="73">
        <v>1</v>
      </c>
      <c r="D232" s="65">
        <v>30</v>
      </c>
      <c r="E232" s="16">
        <f t="shared" si="1"/>
        <v>30</v>
      </c>
    </row>
    <row r="233" spans="1:6" x14ac:dyDescent="0.2">
      <c r="A233" s="14" t="s">
        <v>95</v>
      </c>
      <c r="B233" s="15" t="s">
        <v>91</v>
      </c>
      <c r="C233" s="73">
        <v>1</v>
      </c>
      <c r="D233" s="65">
        <v>100</v>
      </c>
      <c r="E233" s="16">
        <f t="shared" si="1"/>
        <v>100</v>
      </c>
    </row>
    <row r="234" spans="1:6" ht="13.5" thickBot="1" x14ac:dyDescent="0.25">
      <c r="A234" s="149" t="s">
        <v>4</v>
      </c>
      <c r="B234" s="150" t="s">
        <v>5</v>
      </c>
      <c r="C234" s="164">
        <v>6</v>
      </c>
      <c r="D234" s="153">
        <f>+SUM(E214:E231)</f>
        <v>489.58333333333337</v>
      </c>
      <c r="E234" s="153">
        <f>C234*D234</f>
        <v>2937.5</v>
      </c>
      <c r="F234" s="148"/>
    </row>
    <row r="235" spans="1:6" ht="13.5" thickBot="1" x14ac:dyDescent="0.25">
      <c r="A235" s="149"/>
      <c r="B235" s="149"/>
      <c r="C235" s="149"/>
      <c r="D235" s="239" t="s">
        <v>93</v>
      </c>
      <c r="E235" s="163">
        <v>1</v>
      </c>
      <c r="F235" s="94">
        <f>E234*E235</f>
        <v>2937.5</v>
      </c>
    </row>
    <row r="236" spans="1:6" ht="11.25" customHeight="1" x14ac:dyDescent="0.2"/>
    <row r="237" spans="1:6" ht="13.9" customHeight="1" x14ac:dyDescent="0.2">
      <c r="A237" s="7" t="s">
        <v>96</v>
      </c>
    </row>
    <row r="238" spans="1:6" ht="11.25" customHeight="1" thickBot="1" x14ac:dyDescent="0.25"/>
    <row r="239" spans="1:6" ht="24.75" thickBot="1" x14ac:dyDescent="0.25">
      <c r="A239" s="53" t="s">
        <v>50</v>
      </c>
      <c r="B239" s="54" t="s">
        <v>51</v>
      </c>
      <c r="C239" s="133" t="s">
        <v>125</v>
      </c>
      <c r="D239" s="55" t="s">
        <v>118</v>
      </c>
      <c r="E239" s="55" t="s">
        <v>52</v>
      </c>
      <c r="F239" s="56" t="s">
        <v>53</v>
      </c>
    </row>
    <row r="240" spans="1:6" x14ac:dyDescent="0.2">
      <c r="A240" s="11" t="s">
        <v>54</v>
      </c>
      <c r="B240" s="12" t="s">
        <v>9</v>
      </c>
      <c r="C240" s="73">
        <v>12</v>
      </c>
      <c r="D240" s="63">
        <v>120</v>
      </c>
      <c r="E240" s="13">
        <f t="shared" ref="E240:E245" si="2">IFERROR(D240/C240,0)</f>
        <v>10</v>
      </c>
    </row>
    <row r="241" spans="1:7" x14ac:dyDescent="0.2">
      <c r="A241" s="14" t="s">
        <v>25</v>
      </c>
      <c r="B241" s="15" t="s">
        <v>9</v>
      </c>
      <c r="C241" s="73">
        <v>6</v>
      </c>
      <c r="D241" s="63">
        <v>90</v>
      </c>
      <c r="E241" s="13">
        <f t="shared" si="2"/>
        <v>15</v>
      </c>
    </row>
    <row r="242" spans="1:7" x14ac:dyDescent="0.2">
      <c r="A242" s="14" t="s">
        <v>26</v>
      </c>
      <c r="B242" s="15" t="s">
        <v>9</v>
      </c>
      <c r="C242" s="73">
        <v>6</v>
      </c>
      <c r="D242" s="63">
        <v>50</v>
      </c>
      <c r="E242" s="13">
        <f t="shared" si="2"/>
        <v>8.3333333333333339</v>
      </c>
    </row>
    <row r="243" spans="1:7" x14ac:dyDescent="0.2">
      <c r="A243" s="14" t="s">
        <v>56</v>
      </c>
      <c r="B243" s="15" t="s">
        <v>38</v>
      </c>
      <c r="C243" s="73">
        <v>6</v>
      </c>
      <c r="D243" s="63">
        <v>65</v>
      </c>
      <c r="E243" s="13">
        <f t="shared" si="2"/>
        <v>10.833333333333334</v>
      </c>
    </row>
    <row r="244" spans="1:7" x14ac:dyDescent="0.2">
      <c r="A244" s="14" t="s">
        <v>55</v>
      </c>
      <c r="B244" s="15" t="s">
        <v>9</v>
      </c>
      <c r="C244" s="73">
        <v>4</v>
      </c>
      <c r="D244" s="63">
        <v>70</v>
      </c>
      <c r="E244" s="13">
        <f t="shared" si="2"/>
        <v>17.5</v>
      </c>
      <c r="G244" s="7"/>
    </row>
    <row r="245" spans="1:7" x14ac:dyDescent="0.2">
      <c r="A245" s="14" t="s">
        <v>49</v>
      </c>
      <c r="B245" s="15" t="s">
        <v>39</v>
      </c>
      <c r="C245" s="73">
        <v>1</v>
      </c>
      <c r="D245" s="63">
        <v>30</v>
      </c>
      <c r="E245" s="13">
        <f t="shared" si="2"/>
        <v>30</v>
      </c>
      <c r="G245" s="7"/>
    </row>
    <row r="246" spans="1:7" x14ac:dyDescent="0.2">
      <c r="A246" s="14" t="s">
        <v>95</v>
      </c>
      <c r="B246" s="15" t="s">
        <v>91</v>
      </c>
      <c r="C246" s="73">
        <v>1</v>
      </c>
      <c r="D246" s="63">
        <v>100</v>
      </c>
      <c r="E246" s="16">
        <f>C246*D246</f>
        <v>100</v>
      </c>
      <c r="G246" s="7"/>
    </row>
    <row r="247" spans="1:7" ht="13.5" thickBot="1" x14ac:dyDescent="0.25">
      <c r="A247" s="14" t="s">
        <v>4</v>
      </c>
      <c r="B247" s="15" t="s">
        <v>5</v>
      </c>
      <c r="C247" s="73">
        <v>5</v>
      </c>
      <c r="D247" s="63">
        <f>SUM(E240:E246)</f>
        <v>191.66666666666669</v>
      </c>
      <c r="E247" s="16">
        <f>C247*D247</f>
        <v>958.33333333333348</v>
      </c>
      <c r="G247" s="7"/>
    </row>
    <row r="248" spans="1:7" ht="13.5" thickBot="1" x14ac:dyDescent="0.25">
      <c r="D248" s="93" t="s">
        <v>93</v>
      </c>
      <c r="E248" s="45">
        <f>$B$70</f>
        <v>1</v>
      </c>
      <c r="F248" s="94">
        <f>E247*E248</f>
        <v>958.33333333333348</v>
      </c>
      <c r="G248" s="7"/>
    </row>
    <row r="249" spans="1:7" ht="11.25" customHeight="1" thickBot="1" x14ac:dyDescent="0.25">
      <c r="G249" s="7"/>
    </row>
    <row r="250" spans="1:7" ht="13.5" thickBot="1" x14ac:dyDescent="0.25">
      <c r="A250" s="22" t="s">
        <v>97</v>
      </c>
      <c r="B250" s="26"/>
      <c r="C250" s="26"/>
      <c r="D250" s="27"/>
      <c r="E250" s="28"/>
      <c r="F250" s="19">
        <f>+F235+F248</f>
        <v>3895.8333333333335</v>
      </c>
      <c r="G250" s="7"/>
    </row>
    <row r="251" spans="1:7" ht="11.25" customHeight="1" x14ac:dyDescent="0.2">
      <c r="G251" s="7"/>
    </row>
    <row r="252" spans="1:7" x14ac:dyDescent="0.2">
      <c r="A252" s="9" t="s">
        <v>44</v>
      </c>
      <c r="G252" s="7"/>
    </row>
    <row r="253" spans="1:7" ht="11.25" customHeight="1" x14ac:dyDescent="0.2">
      <c r="B253" s="78"/>
      <c r="G253" s="7"/>
    </row>
    <row r="254" spans="1:7" x14ac:dyDescent="0.2">
      <c r="A254" s="5" t="s">
        <v>159</v>
      </c>
      <c r="G254" s="7"/>
    </row>
    <row r="255" spans="1:7" ht="11.25" customHeight="1" x14ac:dyDescent="0.2">
      <c r="G255" s="7"/>
    </row>
    <row r="256" spans="1:7" ht="13.5" thickBot="1" x14ac:dyDescent="0.25">
      <c r="A256" s="78" t="s">
        <v>36</v>
      </c>
      <c r="G256" s="7"/>
    </row>
    <row r="257" spans="1:10" ht="13.5" thickBot="1" x14ac:dyDescent="0.25">
      <c r="A257" s="53" t="s">
        <v>50</v>
      </c>
      <c r="B257" s="54" t="s">
        <v>51</v>
      </c>
      <c r="C257" s="54" t="s">
        <v>33</v>
      </c>
      <c r="D257" s="55" t="s">
        <v>118</v>
      </c>
      <c r="E257" s="55" t="s">
        <v>52</v>
      </c>
      <c r="F257" s="56" t="s">
        <v>53</v>
      </c>
      <c r="G257" s="7"/>
    </row>
    <row r="258" spans="1:10" x14ac:dyDescent="0.2">
      <c r="A258" s="146" t="s">
        <v>198</v>
      </c>
      <c r="B258" s="12" t="s">
        <v>9</v>
      </c>
      <c r="C258" s="139">
        <v>1</v>
      </c>
      <c r="D258" s="63">
        <f>G258</f>
        <v>263519.33</v>
      </c>
      <c r="E258" s="13">
        <f>C258*D258</f>
        <v>263519.33</v>
      </c>
      <c r="G258" s="165">
        <v>263519.33</v>
      </c>
    </row>
    <row r="259" spans="1:10" x14ac:dyDescent="0.2">
      <c r="A259" s="14" t="s">
        <v>75</v>
      </c>
      <c r="B259" s="15" t="s">
        <v>76</v>
      </c>
      <c r="C259" s="62">
        <v>5</v>
      </c>
      <c r="D259" s="60"/>
      <c r="E259" s="16"/>
      <c r="G259" s="165">
        <v>170510</v>
      </c>
    </row>
    <row r="260" spans="1:10" x14ac:dyDescent="0.2">
      <c r="A260" s="14" t="s">
        <v>101</v>
      </c>
      <c r="B260" s="15" t="s">
        <v>76</v>
      </c>
      <c r="C260" s="62">
        <v>0</v>
      </c>
      <c r="D260" s="16"/>
      <c r="E260" s="16"/>
      <c r="F260" s="18"/>
      <c r="I260" s="61"/>
      <c r="J260" s="61"/>
    </row>
    <row r="261" spans="1:10" x14ac:dyDescent="0.2">
      <c r="A261" s="14" t="s">
        <v>77</v>
      </c>
      <c r="B261" s="15" t="s">
        <v>1</v>
      </c>
      <c r="C261" s="105">
        <f>IFERROR(VLOOKUP(C259,'1.6 DEPRECIAÇÃO'!A3:B17,2,FALSE),0)</f>
        <v>55.679999999999993</v>
      </c>
      <c r="D261" s="16">
        <f>E258</f>
        <v>263519.33</v>
      </c>
      <c r="E261" s="16">
        <f>C261*D261/100</f>
        <v>146727.562944</v>
      </c>
    </row>
    <row r="262" spans="1:10" ht="13.5" thickBot="1" x14ac:dyDescent="0.25">
      <c r="A262" s="141" t="s">
        <v>199</v>
      </c>
      <c r="B262" s="142" t="s">
        <v>7</v>
      </c>
      <c r="C262" s="142">
        <f>C259*12</f>
        <v>60</v>
      </c>
      <c r="D262" s="143">
        <f>IF(C260&lt;=C259,E261,0)</f>
        <v>146727.562944</v>
      </c>
      <c r="E262" s="143">
        <f>IFERROR(D262/C262,0)</f>
        <v>2445.4593823999999</v>
      </c>
    </row>
    <row r="263" spans="1:10" ht="13.5" thickTop="1" x14ac:dyDescent="0.2">
      <c r="A263" s="146" t="s">
        <v>200</v>
      </c>
      <c r="B263" s="12" t="s">
        <v>9</v>
      </c>
      <c r="C263" s="12">
        <f>C258</f>
        <v>1</v>
      </c>
      <c r="D263" s="63">
        <f>G259</f>
        <v>170510</v>
      </c>
      <c r="E263" s="13">
        <f>C263*D263</f>
        <v>170510</v>
      </c>
      <c r="G263" s="7"/>
    </row>
    <row r="264" spans="1:10" x14ac:dyDescent="0.2">
      <c r="A264" s="149" t="s">
        <v>266</v>
      </c>
      <c r="B264" s="15" t="s">
        <v>76</v>
      </c>
      <c r="C264" s="62">
        <v>5</v>
      </c>
      <c r="D264" s="16"/>
      <c r="E264" s="16"/>
    </row>
    <row r="265" spans="1:10" x14ac:dyDescent="0.2">
      <c r="A265" s="149" t="s">
        <v>267</v>
      </c>
      <c r="B265" s="15" t="s">
        <v>76</v>
      </c>
      <c r="C265" s="62">
        <v>0</v>
      </c>
      <c r="D265" s="16"/>
      <c r="E265" s="16"/>
      <c r="F265" s="18"/>
      <c r="I265" s="61"/>
      <c r="J265" s="61"/>
    </row>
    <row r="266" spans="1:10" x14ac:dyDescent="0.2">
      <c r="A266" s="149" t="s">
        <v>268</v>
      </c>
      <c r="B266" s="15" t="s">
        <v>1</v>
      </c>
      <c r="C266" s="106">
        <f>IFERROR(VLOOKUP(C264,'1.6 DEPRECIAÇÃO'!A3:B17,2,FALSE),0)</f>
        <v>55.679999999999993</v>
      </c>
      <c r="D266" s="16">
        <f>E263</f>
        <v>170510</v>
      </c>
      <c r="E266" s="16">
        <f>C266*D266/100</f>
        <v>94939.967999999993</v>
      </c>
    </row>
    <row r="267" spans="1:10" x14ac:dyDescent="0.2">
      <c r="A267" s="74" t="s">
        <v>199</v>
      </c>
      <c r="B267" s="75" t="s">
        <v>7</v>
      </c>
      <c r="C267" s="75">
        <f>C264*12</f>
        <v>60</v>
      </c>
      <c r="D267" s="76">
        <f>IF(C265&lt;=C264,E266,0)</f>
        <v>94939.967999999993</v>
      </c>
      <c r="E267" s="76">
        <f>IFERROR(D267/C267,0)</f>
        <v>1582.3327999999999</v>
      </c>
    </row>
    <row r="268" spans="1:10" x14ac:dyDescent="0.2">
      <c r="A268" s="88" t="s">
        <v>128</v>
      </c>
      <c r="B268" s="89"/>
      <c r="C268" s="89"/>
      <c r="D268" s="90"/>
      <c r="E268" s="91">
        <f>E262+E267</f>
        <v>4027.7921823999995</v>
      </c>
    </row>
    <row r="269" spans="1:10" ht="13.5" thickBot="1" x14ac:dyDescent="0.25">
      <c r="A269" s="74" t="s">
        <v>129</v>
      </c>
      <c r="B269" s="75" t="s">
        <v>9</v>
      </c>
      <c r="C269" s="62">
        <v>2</v>
      </c>
      <c r="D269" s="76">
        <f>E268</f>
        <v>4027.7921823999995</v>
      </c>
      <c r="E269" s="91">
        <f>C269*D269</f>
        <v>8055.5843647999991</v>
      </c>
    </row>
    <row r="270" spans="1:10" ht="13.5" thickBot="1" x14ac:dyDescent="0.25">
      <c r="A270" s="138"/>
      <c r="B270" s="138"/>
      <c r="C270" s="138"/>
      <c r="D270" s="93" t="s">
        <v>93</v>
      </c>
      <c r="E270" s="45">
        <f>$B$70</f>
        <v>1</v>
      </c>
      <c r="F270" s="19">
        <f>E269*E270</f>
        <v>8055.5843647999991</v>
      </c>
    </row>
    <row r="271" spans="1:10" ht="11.25" customHeight="1" x14ac:dyDescent="0.2"/>
    <row r="272" spans="1:10" ht="13.5" thickBot="1" x14ac:dyDescent="0.25">
      <c r="A272" s="78" t="s">
        <v>82</v>
      </c>
    </row>
    <row r="273" spans="1:10" ht="13.5" thickBot="1" x14ac:dyDescent="0.25">
      <c r="A273" s="80" t="s">
        <v>50</v>
      </c>
      <c r="B273" s="81" t="s">
        <v>51</v>
      </c>
      <c r="C273" s="81" t="s">
        <v>33</v>
      </c>
      <c r="D273" s="55" t="s">
        <v>118</v>
      </c>
      <c r="E273" s="82" t="s">
        <v>52</v>
      </c>
      <c r="F273" s="56" t="s">
        <v>53</v>
      </c>
      <c r="I273" s="61"/>
      <c r="J273" s="61"/>
    </row>
    <row r="274" spans="1:10" x14ac:dyDescent="0.2">
      <c r="A274" s="14" t="s">
        <v>81</v>
      </c>
      <c r="B274" s="15" t="s">
        <v>9</v>
      </c>
      <c r="C274" s="139">
        <v>1</v>
      </c>
      <c r="D274" s="16">
        <f>D258</f>
        <v>263519.33</v>
      </c>
      <c r="E274" s="16">
        <f>C274*D274</f>
        <v>263519.33</v>
      </c>
      <c r="F274" s="18"/>
      <c r="I274" s="61"/>
      <c r="J274" s="61"/>
    </row>
    <row r="275" spans="1:10" x14ac:dyDescent="0.2">
      <c r="A275" s="14" t="s">
        <v>104</v>
      </c>
      <c r="B275" s="15" t="s">
        <v>1</v>
      </c>
      <c r="C275" s="62">
        <v>13.75</v>
      </c>
      <c r="D275" s="16"/>
      <c r="E275" s="16"/>
      <c r="F275" s="18"/>
      <c r="I275" s="61"/>
      <c r="J275" s="61"/>
    </row>
    <row r="276" spans="1:10" x14ac:dyDescent="0.2">
      <c r="A276" s="14" t="s">
        <v>102</v>
      </c>
      <c r="B276" s="15" t="s">
        <v>27</v>
      </c>
      <c r="C276" s="108">
        <f>IFERROR(IF(C260&lt;=C259,E258-(C261/(100*C259)*C260)*E258,E258-E261),0)</f>
        <v>263519.33</v>
      </c>
      <c r="D276" s="16"/>
      <c r="E276" s="16"/>
      <c r="F276" s="18"/>
      <c r="I276" s="61"/>
      <c r="J276" s="61"/>
    </row>
    <row r="277" spans="1:10" x14ac:dyDescent="0.2">
      <c r="A277" s="14" t="s">
        <v>85</v>
      </c>
      <c r="B277" s="15" t="s">
        <v>27</v>
      </c>
      <c r="C277" s="60">
        <f>IFERROR(IF(C260&gt;=C259,C276,((((C276)-(E258-E261))*(((C259-C260)+1)/(2*(C259-C260))))+(E258-E261))),0)</f>
        <v>204828.30482240001</v>
      </c>
      <c r="D277" s="16"/>
      <c r="E277" s="16"/>
      <c r="F277" s="18"/>
      <c r="I277" s="61"/>
      <c r="J277" s="61"/>
    </row>
    <row r="278" spans="1:10" ht="13.5" thickBot="1" x14ac:dyDescent="0.25">
      <c r="A278" s="141" t="s">
        <v>86</v>
      </c>
      <c r="B278" s="142" t="s">
        <v>27</v>
      </c>
      <c r="C278" s="142"/>
      <c r="D278" s="144">
        <f>C275*C277/12/100</f>
        <v>2346.9909927566669</v>
      </c>
      <c r="E278" s="143">
        <f>D278</f>
        <v>2346.9909927566669</v>
      </c>
      <c r="F278" s="18"/>
      <c r="I278" s="61"/>
      <c r="J278" s="61"/>
    </row>
    <row r="279" spans="1:10" ht="13.5" thickTop="1" x14ac:dyDescent="0.2">
      <c r="A279" s="146" t="s">
        <v>201</v>
      </c>
      <c r="B279" s="12" t="s">
        <v>9</v>
      </c>
      <c r="C279" s="12">
        <f>C263</f>
        <v>1</v>
      </c>
      <c r="D279" s="13">
        <f>D263</f>
        <v>170510</v>
      </c>
      <c r="E279" s="13">
        <f>C279*D279</f>
        <v>170510</v>
      </c>
      <c r="F279" s="18"/>
      <c r="I279" s="61"/>
      <c r="J279" s="61"/>
    </row>
    <row r="280" spans="1:10" x14ac:dyDescent="0.2">
      <c r="A280" s="14" t="s">
        <v>104</v>
      </c>
      <c r="B280" s="15" t="s">
        <v>1</v>
      </c>
      <c r="C280" s="140">
        <f>C275</f>
        <v>13.75</v>
      </c>
      <c r="D280" s="16"/>
      <c r="E280" s="16"/>
      <c r="F280" s="18"/>
      <c r="I280" s="61"/>
      <c r="J280" s="61"/>
    </row>
    <row r="281" spans="1:10" x14ac:dyDescent="0.2">
      <c r="A281" s="14" t="s">
        <v>103</v>
      </c>
      <c r="B281" s="15" t="s">
        <v>27</v>
      </c>
      <c r="C281" s="108">
        <f>IFERROR(IF(C265&lt;=C264,E263-(C266/(100*C264)*C265)*E263,E263-E266),0)</f>
        <v>170510</v>
      </c>
      <c r="D281" s="16"/>
      <c r="E281" s="16"/>
      <c r="F281" s="18"/>
      <c r="I281" s="61"/>
      <c r="J281" s="61"/>
    </row>
    <row r="282" spans="1:10" x14ac:dyDescent="0.2">
      <c r="A282" s="149" t="s">
        <v>202</v>
      </c>
      <c r="B282" s="15" t="s">
        <v>27</v>
      </c>
      <c r="C282" s="60">
        <f>IFERROR(IF(C265&gt;=C264,C281,((((C281)-(E263-E266))*(((C264-C265)+1)/(2*(C264-C265))))+(E263-E266))),0)</f>
        <v>132534.0128</v>
      </c>
      <c r="D282" s="16"/>
      <c r="E282" s="16"/>
      <c r="F282" s="18"/>
      <c r="I282" s="61"/>
      <c r="J282" s="61"/>
    </row>
    <row r="283" spans="1:10" x14ac:dyDescent="0.2">
      <c r="A283" s="74" t="s">
        <v>84</v>
      </c>
      <c r="B283" s="75" t="s">
        <v>27</v>
      </c>
      <c r="C283" s="75"/>
      <c r="D283" s="84">
        <f>C280*C282/12/100</f>
        <v>1518.6188966666666</v>
      </c>
      <c r="E283" s="76">
        <f>D283</f>
        <v>1518.6188966666666</v>
      </c>
      <c r="F283" s="18"/>
      <c r="I283" s="61"/>
      <c r="J283" s="61"/>
    </row>
    <row r="284" spans="1:10" x14ac:dyDescent="0.2">
      <c r="A284" s="88" t="s">
        <v>128</v>
      </c>
      <c r="B284" s="89"/>
      <c r="C284" s="89"/>
      <c r="D284" s="90"/>
      <c r="E284" s="91">
        <f>E278+E283</f>
        <v>3865.6098894233337</v>
      </c>
      <c r="F284" s="18"/>
      <c r="I284" s="61"/>
      <c r="J284" s="61"/>
    </row>
    <row r="285" spans="1:10" ht="13.5" thickBot="1" x14ac:dyDescent="0.25">
      <c r="A285" s="74" t="s">
        <v>129</v>
      </c>
      <c r="B285" s="75" t="s">
        <v>9</v>
      </c>
      <c r="C285" s="140">
        <f>C269</f>
        <v>2</v>
      </c>
      <c r="D285" s="76">
        <f>E284</f>
        <v>3865.6098894233337</v>
      </c>
      <c r="E285" s="91">
        <f>C285*D285</f>
        <v>7731.2197788466674</v>
      </c>
      <c r="F285" s="18"/>
      <c r="I285" s="61"/>
      <c r="J285" s="61"/>
    </row>
    <row r="286" spans="1:10" ht="13.5" thickBot="1" x14ac:dyDescent="0.25">
      <c r="C286" s="17"/>
      <c r="D286" s="93" t="s">
        <v>93</v>
      </c>
      <c r="E286" s="45">
        <f>$B$70</f>
        <v>1</v>
      </c>
      <c r="F286" s="19">
        <f>E285*E286</f>
        <v>7731.2197788466674</v>
      </c>
      <c r="I286" s="61"/>
      <c r="J286" s="61"/>
    </row>
    <row r="287" spans="1:10" ht="11.25" customHeight="1" x14ac:dyDescent="0.2">
      <c r="I287" s="61"/>
      <c r="J287" s="61"/>
    </row>
    <row r="288" spans="1:10" ht="13.5" thickBot="1" x14ac:dyDescent="0.25">
      <c r="A288" s="7" t="s">
        <v>41</v>
      </c>
      <c r="I288" s="61"/>
      <c r="J288" s="61"/>
    </row>
    <row r="289" spans="1:10" ht="13.5" thickBot="1" x14ac:dyDescent="0.25">
      <c r="A289" s="53" t="s">
        <v>50</v>
      </c>
      <c r="B289" s="54" t="s">
        <v>51</v>
      </c>
      <c r="C289" s="54" t="s">
        <v>33</v>
      </c>
      <c r="D289" s="55" t="s">
        <v>118</v>
      </c>
      <c r="E289" s="55" t="s">
        <v>52</v>
      </c>
      <c r="F289" s="56" t="s">
        <v>53</v>
      </c>
      <c r="I289" s="61"/>
      <c r="J289" s="61"/>
    </row>
    <row r="290" spans="1:10" x14ac:dyDescent="0.2">
      <c r="A290" s="11" t="s">
        <v>10</v>
      </c>
      <c r="B290" s="12" t="s">
        <v>9</v>
      </c>
      <c r="C290" s="13">
        <f>C269</f>
        <v>2</v>
      </c>
      <c r="D290" s="13">
        <f>0.01*($E$258)</f>
        <v>2635.1933000000004</v>
      </c>
      <c r="E290" s="13">
        <f>C290*D290</f>
        <v>5270.3866000000007</v>
      </c>
      <c r="I290" s="61"/>
      <c r="J290" s="61"/>
    </row>
    <row r="291" spans="1:10" x14ac:dyDescent="0.2">
      <c r="A291" s="14" t="s">
        <v>92</v>
      </c>
      <c r="B291" s="15" t="s">
        <v>9</v>
      </c>
      <c r="C291" s="13">
        <f>C269</f>
        <v>2</v>
      </c>
      <c r="D291" s="65">
        <v>2000</v>
      </c>
      <c r="E291" s="16">
        <f>C291*D291</f>
        <v>4000</v>
      </c>
      <c r="I291" s="61"/>
      <c r="J291" s="61"/>
    </row>
    <row r="292" spans="1:10" x14ac:dyDescent="0.2">
      <c r="A292" s="14" t="s">
        <v>11</v>
      </c>
      <c r="B292" s="15" t="s">
        <v>9</v>
      </c>
      <c r="C292" s="13">
        <f>C269</f>
        <v>2</v>
      </c>
      <c r="D292" s="65">
        <v>3500</v>
      </c>
      <c r="E292" s="16">
        <f>C292*D292</f>
        <v>7000</v>
      </c>
      <c r="F292" s="29"/>
      <c r="I292" s="61"/>
      <c r="J292" s="61"/>
    </row>
    <row r="293" spans="1:10" ht="13.5" thickBot="1" x14ac:dyDescent="0.25">
      <c r="A293" s="74" t="s">
        <v>12</v>
      </c>
      <c r="B293" s="75" t="s">
        <v>7</v>
      </c>
      <c r="C293" s="75">
        <v>12</v>
      </c>
      <c r="D293" s="76">
        <f>SUM(E290:E292)</f>
        <v>16270.386600000002</v>
      </c>
      <c r="E293" s="76">
        <f>D293/C293</f>
        <v>1355.8655500000002</v>
      </c>
      <c r="I293" s="61"/>
      <c r="J293" s="61"/>
    </row>
    <row r="294" spans="1:10" ht="13.5" thickBot="1" x14ac:dyDescent="0.25">
      <c r="D294" s="93" t="s">
        <v>93</v>
      </c>
      <c r="E294" s="45">
        <f>$B$70</f>
        <v>1</v>
      </c>
      <c r="F294" s="94">
        <f>E293*E294</f>
        <v>1355.8655500000002</v>
      </c>
      <c r="I294" s="61"/>
      <c r="J294" s="61"/>
    </row>
    <row r="295" spans="1:10" ht="11.25" customHeight="1" x14ac:dyDescent="0.2">
      <c r="I295" s="61"/>
      <c r="J295" s="61"/>
    </row>
    <row r="296" spans="1:10" x14ac:dyDescent="0.2">
      <c r="A296" s="7" t="s">
        <v>42</v>
      </c>
      <c r="B296" s="30"/>
      <c r="I296" s="61"/>
      <c r="J296" s="61"/>
    </row>
    <row r="297" spans="1:10" x14ac:dyDescent="0.2">
      <c r="A297" s="74" t="s">
        <v>88</v>
      </c>
      <c r="B297" s="85">
        <f>120*22*2+8*120</f>
        <v>6240</v>
      </c>
      <c r="I297" s="61"/>
      <c r="J297" s="61"/>
    </row>
    <row r="298" spans="1:10" ht="13.5" thickBot="1" x14ac:dyDescent="0.25">
      <c r="B298" s="30"/>
      <c r="I298" s="61"/>
      <c r="J298" s="61"/>
    </row>
    <row r="299" spans="1:10" ht="13.5" thickBot="1" x14ac:dyDescent="0.25">
      <c r="A299" s="53" t="s">
        <v>50</v>
      </c>
      <c r="B299" s="54" t="s">
        <v>51</v>
      </c>
      <c r="C299" s="54" t="s">
        <v>127</v>
      </c>
      <c r="D299" s="55" t="s">
        <v>118</v>
      </c>
      <c r="E299" s="55" t="s">
        <v>52</v>
      </c>
      <c r="F299" s="56" t="s">
        <v>53</v>
      </c>
      <c r="I299" s="61"/>
      <c r="J299" s="61"/>
    </row>
    <row r="300" spans="1:10" x14ac:dyDescent="0.2">
      <c r="A300" s="11" t="s">
        <v>13</v>
      </c>
      <c r="B300" s="12" t="s">
        <v>14</v>
      </c>
      <c r="C300" s="69">
        <v>4</v>
      </c>
      <c r="D300" s="70">
        <v>6.53</v>
      </c>
      <c r="E300" s="13"/>
      <c r="I300" s="61"/>
      <c r="J300" s="61"/>
    </row>
    <row r="301" spans="1:10" x14ac:dyDescent="0.2">
      <c r="A301" s="14" t="s">
        <v>15</v>
      </c>
      <c r="B301" s="15" t="s">
        <v>16</v>
      </c>
      <c r="C301" s="67">
        <f>B297</f>
        <v>6240</v>
      </c>
      <c r="D301" s="137">
        <f>IFERROR(+D300/C300,"-")</f>
        <v>1.6325000000000001</v>
      </c>
      <c r="E301" s="16">
        <f>IFERROR(C301*D301,"-")</f>
        <v>10186.800000000001</v>
      </c>
      <c r="I301" s="61"/>
      <c r="J301" s="61"/>
    </row>
    <row r="302" spans="1:10" x14ac:dyDescent="0.2">
      <c r="A302" s="14" t="s">
        <v>119</v>
      </c>
      <c r="B302" s="15" t="s">
        <v>17</v>
      </c>
      <c r="C302" s="72">
        <v>0.5</v>
      </c>
      <c r="D302" s="65">
        <v>25</v>
      </c>
      <c r="E302" s="16"/>
      <c r="G302" s="83"/>
      <c r="H302" s="46"/>
      <c r="I302" s="61"/>
      <c r="J302" s="61"/>
    </row>
    <row r="303" spans="1:10" x14ac:dyDescent="0.2">
      <c r="A303" s="14" t="s">
        <v>18</v>
      </c>
      <c r="B303" s="15" t="s">
        <v>16</v>
      </c>
      <c r="C303" s="67">
        <f>C301</f>
        <v>6240</v>
      </c>
      <c r="D303" s="134">
        <f>+C302*D302/1000</f>
        <v>1.2500000000000001E-2</v>
      </c>
      <c r="E303" s="16">
        <f>C303*D303</f>
        <v>78</v>
      </c>
      <c r="G303" s="83"/>
      <c r="H303" s="46"/>
      <c r="I303" s="61"/>
      <c r="J303" s="61"/>
    </row>
    <row r="304" spans="1:10" x14ac:dyDescent="0.2">
      <c r="A304" s="14" t="s">
        <v>120</v>
      </c>
      <c r="B304" s="15" t="s">
        <v>17</v>
      </c>
      <c r="C304" s="72">
        <v>0.15</v>
      </c>
      <c r="D304" s="65">
        <v>45</v>
      </c>
      <c r="E304" s="16"/>
      <c r="G304" s="83"/>
      <c r="H304" s="46"/>
      <c r="I304" s="61"/>
      <c r="J304" s="61"/>
    </row>
    <row r="305" spans="1:10" x14ac:dyDescent="0.2">
      <c r="A305" s="14" t="s">
        <v>19</v>
      </c>
      <c r="B305" s="15" t="s">
        <v>16</v>
      </c>
      <c r="C305" s="67">
        <f>C301</f>
        <v>6240</v>
      </c>
      <c r="D305" s="134">
        <f>+C304*D304/1000</f>
        <v>6.7499999999999999E-3</v>
      </c>
      <c r="E305" s="16">
        <f>C305*D305</f>
        <v>42.12</v>
      </c>
      <c r="G305" s="83"/>
      <c r="H305" s="46"/>
      <c r="I305" s="61"/>
      <c r="J305" s="61"/>
    </row>
    <row r="306" spans="1:10" x14ac:dyDescent="0.2">
      <c r="A306" s="14" t="s">
        <v>121</v>
      </c>
      <c r="B306" s="15" t="s">
        <v>17</v>
      </c>
      <c r="C306" s="72">
        <v>0.15</v>
      </c>
      <c r="D306" s="65">
        <v>36</v>
      </c>
      <c r="E306" s="16"/>
      <c r="G306" s="83"/>
      <c r="H306" s="46"/>
      <c r="I306" s="61"/>
      <c r="J306" s="61"/>
    </row>
    <row r="307" spans="1:10" x14ac:dyDescent="0.2">
      <c r="A307" s="14" t="s">
        <v>20</v>
      </c>
      <c r="B307" s="15" t="s">
        <v>16</v>
      </c>
      <c r="C307" s="67">
        <f>C301</f>
        <v>6240</v>
      </c>
      <c r="D307" s="134">
        <f>+C306*D306/1000</f>
        <v>5.3999999999999994E-3</v>
      </c>
      <c r="E307" s="16">
        <f>C307*D307</f>
        <v>33.695999999999998</v>
      </c>
      <c r="G307" s="83"/>
      <c r="H307" s="46"/>
      <c r="I307" s="61"/>
      <c r="J307" s="61"/>
    </row>
    <row r="308" spans="1:10" x14ac:dyDescent="0.2">
      <c r="A308" s="14" t="s">
        <v>21</v>
      </c>
      <c r="B308" s="15" t="s">
        <v>22</v>
      </c>
      <c r="C308" s="72">
        <v>0.3</v>
      </c>
      <c r="D308" s="65">
        <v>25</v>
      </c>
      <c r="E308" s="16"/>
      <c r="G308" s="83"/>
      <c r="H308" s="46"/>
      <c r="I308" s="61"/>
      <c r="J308" s="61"/>
    </row>
    <row r="309" spans="1:10" x14ac:dyDescent="0.2">
      <c r="A309" s="14" t="s">
        <v>23</v>
      </c>
      <c r="B309" s="15" t="s">
        <v>16</v>
      </c>
      <c r="C309" s="67">
        <f>C301</f>
        <v>6240</v>
      </c>
      <c r="D309" s="134">
        <f>+C308*D308/1000</f>
        <v>7.4999999999999997E-3</v>
      </c>
      <c r="E309" s="16">
        <f>C309*D309</f>
        <v>46.8</v>
      </c>
      <c r="G309" s="83"/>
      <c r="H309" s="46"/>
      <c r="I309" s="61"/>
      <c r="J309" s="61"/>
    </row>
    <row r="310" spans="1:10" ht="13.5" thickBot="1" x14ac:dyDescent="0.25">
      <c r="A310" s="74" t="s">
        <v>126</v>
      </c>
      <c r="B310" s="75" t="s">
        <v>89</v>
      </c>
      <c r="C310" s="135"/>
      <c r="D310" s="136">
        <f>IFERROR(D301+D303+D305+D307+D309,0)</f>
        <v>1.6646500000000002</v>
      </c>
      <c r="E310" s="16"/>
      <c r="G310" s="83"/>
      <c r="H310" s="46"/>
      <c r="I310" s="61"/>
      <c r="J310" s="61"/>
    </row>
    <row r="311" spans="1:10" ht="13.5" thickBot="1" x14ac:dyDescent="0.25">
      <c r="F311" s="19">
        <f>SUM(E300:E309)</f>
        <v>10387.416000000001</v>
      </c>
      <c r="I311" s="61"/>
      <c r="J311" s="61"/>
    </row>
    <row r="312" spans="1:10" ht="11.25" customHeight="1" x14ac:dyDescent="0.2">
      <c r="I312" s="61"/>
      <c r="J312" s="61"/>
    </row>
    <row r="313" spans="1:10" ht="13.5" thickBot="1" x14ac:dyDescent="0.25">
      <c r="A313" s="7" t="s">
        <v>43</v>
      </c>
      <c r="I313" s="61"/>
      <c r="J313" s="61"/>
    </row>
    <row r="314" spans="1:10" ht="13.5" thickBot="1" x14ac:dyDescent="0.25">
      <c r="A314" s="53" t="s">
        <v>50</v>
      </c>
      <c r="B314" s="54" t="s">
        <v>51</v>
      </c>
      <c r="C314" s="54" t="s">
        <v>33</v>
      </c>
      <c r="D314" s="55" t="s">
        <v>118</v>
      </c>
      <c r="E314" s="55" t="s">
        <v>52</v>
      </c>
      <c r="F314" s="56" t="s">
        <v>53</v>
      </c>
      <c r="I314" s="61"/>
      <c r="J314" s="61"/>
    </row>
    <row r="315" spans="1:10" ht="13.5" thickBot="1" x14ac:dyDescent="0.25">
      <c r="A315" s="11" t="s">
        <v>87</v>
      </c>
      <c r="B315" s="12" t="s">
        <v>89</v>
      </c>
      <c r="C315" s="67">
        <f>C301</f>
        <v>6240</v>
      </c>
      <c r="D315" s="63">
        <v>1.2</v>
      </c>
      <c r="E315" s="13">
        <f>C315*D315</f>
        <v>7488</v>
      </c>
      <c r="I315" s="61"/>
      <c r="J315" s="61"/>
    </row>
    <row r="316" spans="1:10" ht="13.5" thickBot="1" x14ac:dyDescent="0.25">
      <c r="F316" s="19">
        <f>E315</f>
        <v>7488</v>
      </c>
      <c r="I316" s="61"/>
      <c r="J316" s="61"/>
    </row>
    <row r="317" spans="1:10" ht="11.25" customHeight="1" x14ac:dyDescent="0.2">
      <c r="I317" s="61"/>
      <c r="J317" s="61"/>
    </row>
    <row r="318" spans="1:10" ht="13.5" thickBot="1" x14ac:dyDescent="0.25">
      <c r="A318" s="7" t="s">
        <v>48</v>
      </c>
      <c r="I318" s="61"/>
      <c r="J318" s="61"/>
    </row>
    <row r="319" spans="1:10" ht="13.5" thickBot="1" x14ac:dyDescent="0.25">
      <c r="A319" s="53" t="s">
        <v>50</v>
      </c>
      <c r="B319" s="54" t="s">
        <v>51</v>
      </c>
      <c r="C319" s="54" t="s">
        <v>33</v>
      </c>
      <c r="D319" s="55" t="s">
        <v>118</v>
      </c>
      <c r="E319" s="55" t="s">
        <v>52</v>
      </c>
      <c r="F319" s="56" t="s">
        <v>53</v>
      </c>
      <c r="I319" s="61"/>
      <c r="J319" s="61"/>
    </row>
    <row r="320" spans="1:10" x14ac:dyDescent="0.2">
      <c r="A320" s="146" t="s">
        <v>203</v>
      </c>
      <c r="B320" s="12" t="s">
        <v>9</v>
      </c>
      <c r="C320" s="68">
        <v>6</v>
      </c>
      <c r="D320" s="63">
        <v>1600</v>
      </c>
      <c r="E320" s="13">
        <f>C320*D320</f>
        <v>9600</v>
      </c>
      <c r="I320" s="61"/>
      <c r="J320" s="61"/>
    </row>
    <row r="321" spans="1:10" x14ac:dyDescent="0.2">
      <c r="A321" s="11" t="s">
        <v>90</v>
      </c>
      <c r="B321" s="12" t="s">
        <v>9</v>
      </c>
      <c r="C321" s="68">
        <v>2</v>
      </c>
      <c r="D321" s="77"/>
      <c r="E321" s="13"/>
      <c r="I321" s="61"/>
      <c r="J321" s="61"/>
    </row>
    <row r="322" spans="1:10" x14ac:dyDescent="0.2">
      <c r="A322" s="11" t="s">
        <v>57</v>
      </c>
      <c r="B322" s="12" t="s">
        <v>9</v>
      </c>
      <c r="C322" s="13">
        <f>C320*C321</f>
        <v>12</v>
      </c>
      <c r="D322" s="63">
        <v>500</v>
      </c>
      <c r="E322" s="13">
        <f>C322*D322</f>
        <v>6000</v>
      </c>
      <c r="I322" s="61"/>
      <c r="J322" s="61"/>
    </row>
    <row r="323" spans="1:10" x14ac:dyDescent="0.2">
      <c r="A323" s="14" t="s">
        <v>69</v>
      </c>
      <c r="B323" s="15" t="s">
        <v>24</v>
      </c>
      <c r="C323" s="71">
        <v>50000</v>
      </c>
      <c r="D323" s="16">
        <f>E320+E322</f>
        <v>15600</v>
      </c>
      <c r="E323" s="16">
        <f>IFERROR(D323/C323,"-")</f>
        <v>0.312</v>
      </c>
      <c r="I323" s="61"/>
      <c r="J323" s="61"/>
    </row>
    <row r="324" spans="1:10" ht="13.5" thickBot="1" x14ac:dyDescent="0.25">
      <c r="A324" s="14" t="s">
        <v>45</v>
      </c>
      <c r="B324" s="15" t="s">
        <v>16</v>
      </c>
      <c r="C324" s="67">
        <f>B297</f>
        <v>6240</v>
      </c>
      <c r="D324" s="16">
        <f>E323</f>
        <v>0.312</v>
      </c>
      <c r="E324" s="16">
        <f>IFERROR(C324*D324,0)</f>
        <v>1946.88</v>
      </c>
      <c r="I324" s="61"/>
      <c r="J324" s="61"/>
    </row>
    <row r="325" spans="1:10" ht="13.5" thickBot="1" x14ac:dyDescent="0.25">
      <c r="F325" s="19">
        <f>E324</f>
        <v>1946.88</v>
      </c>
      <c r="I325" s="61"/>
      <c r="J325" s="61"/>
    </row>
    <row r="326" spans="1:10" ht="11.25" customHeight="1" x14ac:dyDescent="0.2">
      <c r="B326" s="78"/>
      <c r="G326" s="61"/>
    </row>
    <row r="327" spans="1:10" x14ac:dyDescent="0.2">
      <c r="A327" s="5" t="s">
        <v>160</v>
      </c>
      <c r="G327" s="7"/>
    </row>
    <row r="328" spans="1:10" x14ac:dyDescent="0.2">
      <c r="G328" s="7"/>
    </row>
    <row r="329" spans="1:10" ht="13.5" thickBot="1" x14ac:dyDescent="0.25">
      <c r="A329" s="78" t="s">
        <v>161</v>
      </c>
      <c r="G329" s="7"/>
    </row>
    <row r="330" spans="1:10" ht="13.5" thickBot="1" x14ac:dyDescent="0.25">
      <c r="A330" s="53">
        <v>2</v>
      </c>
      <c r="B330" s="54" t="s">
        <v>51</v>
      </c>
      <c r="C330" s="54" t="s">
        <v>33</v>
      </c>
      <c r="D330" s="55" t="s">
        <v>118</v>
      </c>
      <c r="E330" s="55" t="s">
        <v>52</v>
      </c>
      <c r="F330" s="56" t="s">
        <v>53</v>
      </c>
      <c r="G330" s="7"/>
    </row>
    <row r="331" spans="1:10" x14ac:dyDescent="0.2">
      <c r="A331" s="11" t="s">
        <v>78</v>
      </c>
      <c r="B331" s="12" t="s">
        <v>9</v>
      </c>
      <c r="C331" s="139">
        <v>1</v>
      </c>
      <c r="D331" s="63">
        <f>H335</f>
        <v>488562.14</v>
      </c>
      <c r="E331" s="13">
        <f>C331*D331</f>
        <v>488562.14</v>
      </c>
      <c r="G331" s="7"/>
    </row>
    <row r="332" spans="1:10" x14ac:dyDescent="0.2">
      <c r="A332" s="14" t="s">
        <v>75</v>
      </c>
      <c r="B332" s="15" t="s">
        <v>76</v>
      </c>
      <c r="C332" s="62">
        <v>5</v>
      </c>
      <c r="D332" s="60"/>
      <c r="E332" s="16"/>
      <c r="G332" s="7"/>
    </row>
    <row r="333" spans="1:10" x14ac:dyDescent="0.2">
      <c r="A333" s="14" t="s">
        <v>101</v>
      </c>
      <c r="B333" s="15" t="s">
        <v>76</v>
      </c>
      <c r="C333" s="62">
        <v>0</v>
      </c>
      <c r="D333" s="16"/>
      <c r="E333" s="16"/>
      <c r="F333" s="18"/>
      <c r="G333" s="7"/>
    </row>
    <row r="334" spans="1:10" x14ac:dyDescent="0.2">
      <c r="A334" s="14" t="s">
        <v>77</v>
      </c>
      <c r="B334" s="15" t="s">
        <v>1</v>
      </c>
      <c r="C334" s="105">
        <v>65.180000000000007</v>
      </c>
      <c r="D334" s="16">
        <f>E331</f>
        <v>488562.14</v>
      </c>
      <c r="E334" s="16">
        <f>C334*D334/100</f>
        <v>318444.80285200005</v>
      </c>
      <c r="G334" s="166" t="s">
        <v>204</v>
      </c>
      <c r="H334" s="167">
        <v>137427.14000000001</v>
      </c>
    </row>
    <row r="335" spans="1:10" ht="13.5" thickBot="1" x14ac:dyDescent="0.25">
      <c r="A335" s="141" t="s">
        <v>40</v>
      </c>
      <c r="B335" s="142" t="s">
        <v>7</v>
      </c>
      <c r="C335" s="142">
        <f>C332*12</f>
        <v>60</v>
      </c>
      <c r="D335" s="143">
        <f>IF(C333&lt;=C332,E334,0)</f>
        <v>318444.80285200005</v>
      </c>
      <c r="E335" s="143">
        <f>IFERROR(D335/C335,0)</f>
        <v>5307.4133808666675</v>
      </c>
      <c r="G335" s="166">
        <v>37752</v>
      </c>
      <c r="H335" s="167">
        <v>488562.14</v>
      </c>
    </row>
    <row r="336" spans="1:10" ht="13.5" thickTop="1" x14ac:dyDescent="0.2">
      <c r="A336" s="146" t="s">
        <v>205</v>
      </c>
      <c r="B336" s="12" t="s">
        <v>9</v>
      </c>
      <c r="C336" s="12">
        <f>C331</f>
        <v>1</v>
      </c>
      <c r="D336" s="63">
        <v>137427</v>
      </c>
      <c r="E336" s="13">
        <f>C336*D336</f>
        <v>137427</v>
      </c>
      <c r="G336" s="7"/>
      <c r="H336" s="167"/>
    </row>
    <row r="337" spans="1:7" x14ac:dyDescent="0.2">
      <c r="A337" s="149" t="s">
        <v>206</v>
      </c>
      <c r="B337" s="15" t="s">
        <v>76</v>
      </c>
      <c r="C337" s="62">
        <v>5</v>
      </c>
      <c r="D337" s="16"/>
      <c r="E337" s="16"/>
      <c r="G337" s="7"/>
    </row>
    <row r="338" spans="1:7" x14ac:dyDescent="0.2">
      <c r="A338" s="149" t="s">
        <v>267</v>
      </c>
      <c r="B338" s="15" t="s">
        <v>76</v>
      </c>
      <c r="C338" s="62">
        <v>0</v>
      </c>
      <c r="D338" s="16"/>
      <c r="E338" s="16"/>
      <c r="F338" s="18"/>
      <c r="G338" s="61"/>
    </row>
    <row r="339" spans="1:7" x14ac:dyDescent="0.2">
      <c r="A339" s="149" t="s">
        <v>270</v>
      </c>
      <c r="B339" s="15" t="s">
        <v>1</v>
      </c>
      <c r="C339" s="106">
        <v>65.180000000000007</v>
      </c>
      <c r="D339" s="16">
        <f>E336</f>
        <v>137427</v>
      </c>
      <c r="E339" s="16">
        <f>C339*D339/100</f>
        <v>89574.918600000019</v>
      </c>
      <c r="G339" s="7"/>
    </row>
    <row r="340" spans="1:7" x14ac:dyDescent="0.2">
      <c r="A340" s="74" t="s">
        <v>199</v>
      </c>
      <c r="B340" s="75" t="s">
        <v>7</v>
      </c>
      <c r="C340" s="75">
        <f>C337*12</f>
        <v>60</v>
      </c>
      <c r="D340" s="76">
        <f>IF(C338&lt;=C337,E339,0)</f>
        <v>89574.918600000019</v>
      </c>
      <c r="E340" s="76">
        <f>IFERROR(D340/C340,0)</f>
        <v>1492.9153100000003</v>
      </c>
      <c r="G340" s="7"/>
    </row>
    <row r="341" spans="1:7" x14ac:dyDescent="0.2">
      <c r="A341" s="88" t="s">
        <v>128</v>
      </c>
      <c r="B341" s="89"/>
      <c r="C341" s="89"/>
      <c r="D341" s="90"/>
      <c r="E341" s="91">
        <f>E335+E340</f>
        <v>6800.3286908666678</v>
      </c>
      <c r="G341" s="7"/>
    </row>
    <row r="342" spans="1:7" ht="13.5" thickBot="1" x14ac:dyDescent="0.25">
      <c r="A342" s="74" t="s">
        <v>129</v>
      </c>
      <c r="B342" s="75" t="s">
        <v>9</v>
      </c>
      <c r="C342" s="62">
        <v>1</v>
      </c>
      <c r="D342" s="76">
        <f>E341</f>
        <v>6800.3286908666678</v>
      </c>
      <c r="E342" s="91">
        <f>C342*D342</f>
        <v>6800.3286908666678</v>
      </c>
      <c r="G342" s="7"/>
    </row>
    <row r="343" spans="1:7" ht="13.5" thickBot="1" x14ac:dyDescent="0.25">
      <c r="A343" s="138"/>
      <c r="B343" s="138"/>
      <c r="C343" s="138"/>
      <c r="D343" s="93" t="s">
        <v>93</v>
      </c>
      <c r="E343" s="45">
        <v>0.22</v>
      </c>
      <c r="F343" s="19">
        <f>E342*E343</f>
        <v>1496.072311990667</v>
      </c>
      <c r="G343" s="7"/>
    </row>
    <row r="344" spans="1:7" x14ac:dyDescent="0.2">
      <c r="G344" s="7"/>
    </row>
    <row r="345" spans="1:7" ht="13.5" thickBot="1" x14ac:dyDescent="0.25">
      <c r="A345" s="78" t="s">
        <v>162</v>
      </c>
      <c r="G345" s="7"/>
    </row>
    <row r="346" spans="1:7" ht="13.5" thickBot="1" x14ac:dyDescent="0.25">
      <c r="A346" s="80" t="s">
        <v>50</v>
      </c>
      <c r="B346" s="81" t="s">
        <v>51</v>
      </c>
      <c r="C346" s="81" t="s">
        <v>33</v>
      </c>
      <c r="D346" s="55" t="s">
        <v>118</v>
      </c>
      <c r="E346" s="82" t="s">
        <v>52</v>
      </c>
      <c r="F346" s="56" t="s">
        <v>53</v>
      </c>
      <c r="G346" s="61"/>
    </row>
    <row r="347" spans="1:7" x14ac:dyDescent="0.2">
      <c r="A347" s="14" t="s">
        <v>81</v>
      </c>
      <c r="B347" s="15" t="s">
        <v>9</v>
      </c>
      <c r="C347" s="139">
        <v>1</v>
      </c>
      <c r="D347" s="16">
        <f>D331</f>
        <v>488562.14</v>
      </c>
      <c r="E347" s="16">
        <f>C347*D347</f>
        <v>488562.14</v>
      </c>
      <c r="F347" s="18"/>
      <c r="G347" s="7"/>
    </row>
    <row r="348" spans="1:7" x14ac:dyDescent="0.2">
      <c r="A348" s="14" t="s">
        <v>104</v>
      </c>
      <c r="B348" s="15" t="s">
        <v>1</v>
      </c>
      <c r="C348" s="62">
        <v>13.75</v>
      </c>
      <c r="D348" s="16"/>
      <c r="E348" s="16"/>
      <c r="F348" s="18"/>
      <c r="G348" s="7"/>
    </row>
    <row r="349" spans="1:7" ht="11.25" customHeight="1" x14ac:dyDescent="0.2">
      <c r="A349" s="14" t="s">
        <v>102</v>
      </c>
      <c r="B349" s="15" t="s">
        <v>27</v>
      </c>
      <c r="C349" s="108">
        <f>IFERROR(IF(C333&lt;=C332,E331-(C334/(100*C332)*C333)*E331,E331-E334),0)</f>
        <v>488562.14</v>
      </c>
      <c r="D349" s="16"/>
      <c r="E349" s="16"/>
      <c r="F349" s="18"/>
      <c r="G349" s="7"/>
    </row>
    <row r="350" spans="1:7" x14ac:dyDescent="0.2">
      <c r="A350" s="14" t="s">
        <v>85</v>
      </c>
      <c r="B350" s="15" t="s">
        <v>27</v>
      </c>
      <c r="C350" s="60">
        <f>IFERROR(IF(C333&gt;=C332,C349,((((C349)-(E331-E334))*(((C332-C333)+1)/(2*(C332-C333))))+(E331-E334))),0)</f>
        <v>361184.21885920002</v>
      </c>
      <c r="D350" s="16"/>
      <c r="E350" s="16"/>
      <c r="F350" s="18"/>
      <c r="G350" s="7"/>
    </row>
    <row r="351" spans="1:7" ht="11.25" customHeight="1" thickBot="1" x14ac:dyDescent="0.25">
      <c r="A351" s="141" t="s">
        <v>86</v>
      </c>
      <c r="B351" s="142" t="s">
        <v>27</v>
      </c>
      <c r="C351" s="142"/>
      <c r="D351" s="144">
        <f>C348*C350/12/100</f>
        <v>4138.569174428334</v>
      </c>
      <c r="E351" s="143">
        <f>D351</f>
        <v>4138.569174428334</v>
      </c>
      <c r="F351" s="18"/>
      <c r="G351" s="7"/>
    </row>
    <row r="352" spans="1:7" ht="13.5" thickTop="1" x14ac:dyDescent="0.2">
      <c r="A352" s="146" t="s">
        <v>271</v>
      </c>
      <c r="B352" s="12" t="s">
        <v>9</v>
      </c>
      <c r="C352" s="12">
        <f>C336</f>
        <v>1</v>
      </c>
      <c r="D352" s="13">
        <f>D336</f>
        <v>137427</v>
      </c>
      <c r="E352" s="13">
        <f>C352*D352</f>
        <v>137427</v>
      </c>
      <c r="F352" s="18"/>
      <c r="G352" s="7"/>
    </row>
    <row r="353" spans="1:7" x14ac:dyDescent="0.2">
      <c r="A353" s="14" t="s">
        <v>104</v>
      </c>
      <c r="B353" s="15" t="s">
        <v>1</v>
      </c>
      <c r="C353" s="140">
        <f>C348</f>
        <v>13.75</v>
      </c>
      <c r="D353" s="16"/>
      <c r="E353" s="16"/>
      <c r="F353" s="18"/>
      <c r="G353" s="7"/>
    </row>
    <row r="354" spans="1:7" x14ac:dyDescent="0.2">
      <c r="A354" s="14" t="s">
        <v>103</v>
      </c>
      <c r="B354" s="15" t="s">
        <v>27</v>
      </c>
      <c r="C354" s="108">
        <f>IFERROR(IF(C338&lt;=C337,E336-(C339/(100*C337)*C338)*E336,E336-E339),0)</f>
        <v>137427</v>
      </c>
      <c r="D354" s="16"/>
      <c r="E354" s="16"/>
      <c r="F354" s="18"/>
      <c r="G354" s="7"/>
    </row>
    <row r="355" spans="1:7" x14ac:dyDescent="0.2">
      <c r="A355" s="149" t="s">
        <v>272</v>
      </c>
      <c r="B355" s="15" t="s">
        <v>27</v>
      </c>
      <c r="C355" s="60">
        <f>IFERROR(IF(C338&gt;=C337,C354,((((C354)-(E336-E339))*(((C337-C338)+1)/(2*(C337-C338))))+(E336-E339))),0)</f>
        <v>101597.03255999999</v>
      </c>
      <c r="D355" s="16"/>
      <c r="E355" s="16"/>
      <c r="F355" s="18"/>
      <c r="G355" s="7"/>
    </row>
    <row r="356" spans="1:7" x14ac:dyDescent="0.2">
      <c r="A356" s="74" t="s">
        <v>84</v>
      </c>
      <c r="B356" s="75" t="s">
        <v>27</v>
      </c>
      <c r="C356" s="75"/>
      <c r="D356" s="84">
        <f>C353*C355/12/100</f>
        <v>1164.13266475</v>
      </c>
      <c r="E356" s="76">
        <f>D356</f>
        <v>1164.13266475</v>
      </c>
      <c r="F356" s="18"/>
      <c r="G356" s="7"/>
    </row>
    <row r="357" spans="1:7" x14ac:dyDescent="0.2">
      <c r="A357" s="88" t="s">
        <v>128</v>
      </c>
      <c r="B357" s="89"/>
      <c r="C357" s="89"/>
      <c r="D357" s="90"/>
      <c r="E357" s="91">
        <f>E351+E356</f>
        <v>5302.701839178334</v>
      </c>
      <c r="F357" s="18"/>
      <c r="G357" s="7"/>
    </row>
    <row r="358" spans="1:7" ht="13.5" thickBot="1" x14ac:dyDescent="0.25">
      <c r="A358" s="74" t="s">
        <v>129</v>
      </c>
      <c r="B358" s="75" t="s">
        <v>9</v>
      </c>
      <c r="C358" s="140">
        <f>C342</f>
        <v>1</v>
      </c>
      <c r="D358" s="76">
        <f>E357</f>
        <v>5302.701839178334</v>
      </c>
      <c r="E358" s="91">
        <f>C358*D358</f>
        <v>5302.701839178334</v>
      </c>
      <c r="F358" s="18"/>
      <c r="G358" s="7"/>
    </row>
    <row r="359" spans="1:7" ht="11.25" customHeight="1" thickBot="1" x14ac:dyDescent="0.25">
      <c r="C359" s="17"/>
      <c r="D359" s="93" t="s">
        <v>93</v>
      </c>
      <c r="E359" s="45">
        <v>0.22</v>
      </c>
      <c r="F359" s="19">
        <f>E358*E359</f>
        <v>1166.5944046192335</v>
      </c>
      <c r="G359" s="7"/>
    </row>
    <row r="360" spans="1:7" x14ac:dyDescent="0.2">
      <c r="G360" s="7"/>
    </row>
    <row r="361" spans="1:7" ht="11.25" customHeight="1" thickBot="1" x14ac:dyDescent="0.25">
      <c r="A361" s="5" t="s">
        <v>163</v>
      </c>
      <c r="G361" s="7"/>
    </row>
    <row r="362" spans="1:7" ht="13.5" thickBot="1" x14ac:dyDescent="0.25">
      <c r="A362" s="53" t="s">
        <v>50</v>
      </c>
      <c r="B362" s="54" t="s">
        <v>51</v>
      </c>
      <c r="C362" s="54" t="s">
        <v>33</v>
      </c>
      <c r="D362" s="55" t="s">
        <v>118</v>
      </c>
      <c r="E362" s="55" t="s">
        <v>52</v>
      </c>
      <c r="F362" s="56" t="s">
        <v>53</v>
      </c>
    </row>
    <row r="363" spans="1:7" ht="11.25" customHeight="1" x14ac:dyDescent="0.2">
      <c r="A363" s="11" t="s">
        <v>10</v>
      </c>
      <c r="B363" s="12" t="s">
        <v>9</v>
      </c>
      <c r="C363" s="13">
        <f>C342</f>
        <v>1</v>
      </c>
      <c r="D363" s="13">
        <f>0.01*(D347)</f>
        <v>4885.6214</v>
      </c>
      <c r="E363" s="13">
        <f>C363*D363</f>
        <v>4885.6214</v>
      </c>
    </row>
    <row r="364" spans="1:7" x14ac:dyDescent="0.2">
      <c r="A364" s="14" t="s">
        <v>92</v>
      </c>
      <c r="B364" s="15" t="s">
        <v>9</v>
      </c>
      <c r="C364" s="13">
        <f>C342</f>
        <v>1</v>
      </c>
      <c r="D364" s="65">
        <v>2000</v>
      </c>
      <c r="E364" s="16">
        <f>C364*D364</f>
        <v>2000</v>
      </c>
    </row>
    <row r="365" spans="1:7" x14ac:dyDescent="0.2">
      <c r="A365" s="14" t="s">
        <v>11</v>
      </c>
      <c r="B365" s="15" t="s">
        <v>9</v>
      </c>
      <c r="C365" s="13">
        <f>C342</f>
        <v>1</v>
      </c>
      <c r="D365" s="65">
        <v>3500</v>
      </c>
      <c r="E365" s="16">
        <f>C365*D365</f>
        <v>3500</v>
      </c>
      <c r="F365" s="29"/>
    </row>
    <row r="366" spans="1:7" ht="13.5" thickBot="1" x14ac:dyDescent="0.25">
      <c r="A366" s="74" t="s">
        <v>12</v>
      </c>
      <c r="B366" s="75" t="s">
        <v>7</v>
      </c>
      <c r="C366" s="75">
        <v>12</v>
      </c>
      <c r="D366" s="76">
        <f>SUM(E363:E365)</f>
        <v>10385.6214</v>
      </c>
      <c r="E366" s="76">
        <f>D366/C366</f>
        <v>865.46844999999996</v>
      </c>
    </row>
    <row r="367" spans="1:7" ht="13.5" thickBot="1" x14ac:dyDescent="0.25">
      <c r="D367" s="93" t="s">
        <v>93</v>
      </c>
      <c r="E367" s="45">
        <v>0.22</v>
      </c>
      <c r="F367" s="94">
        <f>E366*E367</f>
        <v>190.40305899999998</v>
      </c>
    </row>
    <row r="369" spans="1:8" x14ac:dyDescent="0.2">
      <c r="A369" s="5" t="s">
        <v>164</v>
      </c>
      <c r="B369" s="30"/>
    </row>
    <row r="370" spans="1:8" x14ac:dyDescent="0.2">
      <c r="A370" s="74" t="s">
        <v>88</v>
      </c>
      <c r="B370" s="85">
        <f>5*120</f>
        <v>600</v>
      </c>
    </row>
    <row r="371" spans="1:8" ht="11.25" customHeight="1" thickBot="1" x14ac:dyDescent="0.25">
      <c r="B371" s="30"/>
    </row>
    <row r="372" spans="1:8" ht="17.25" customHeight="1" thickBot="1" x14ac:dyDescent="0.25">
      <c r="A372" s="53" t="s">
        <v>50</v>
      </c>
      <c r="B372" s="54" t="s">
        <v>51</v>
      </c>
      <c r="C372" s="54" t="s">
        <v>127</v>
      </c>
      <c r="D372" s="55" t="s">
        <v>118</v>
      </c>
      <c r="E372" s="55" t="s">
        <v>52</v>
      </c>
      <c r="F372" s="56" t="s">
        <v>53</v>
      </c>
    </row>
    <row r="373" spans="1:8" ht="11.25" customHeight="1" x14ac:dyDescent="0.2">
      <c r="A373" s="11" t="s">
        <v>13</v>
      </c>
      <c r="B373" s="12" t="s">
        <v>14</v>
      </c>
      <c r="C373" s="69">
        <v>3.5</v>
      </c>
      <c r="D373" s="70">
        <v>6.53</v>
      </c>
      <c r="E373" s="13"/>
    </row>
    <row r="374" spans="1:8" x14ac:dyDescent="0.2">
      <c r="A374" s="14" t="s">
        <v>15</v>
      </c>
      <c r="B374" s="15" t="s">
        <v>16</v>
      </c>
      <c r="C374" s="67">
        <f>B370</f>
        <v>600</v>
      </c>
      <c r="D374" s="137">
        <f>IFERROR(+D373/C373,"-")</f>
        <v>1.8657142857142859</v>
      </c>
      <c r="E374" s="16">
        <f>IFERROR(C374*D374,"-")</f>
        <v>1119.4285714285716</v>
      </c>
    </row>
    <row r="375" spans="1:8" ht="11.25" customHeight="1" x14ac:dyDescent="0.2">
      <c r="A375" s="14" t="s">
        <v>119</v>
      </c>
      <c r="B375" s="15" t="s">
        <v>17</v>
      </c>
      <c r="C375" s="72">
        <v>0.5</v>
      </c>
      <c r="D375" s="65">
        <v>25</v>
      </c>
      <c r="E375" s="16"/>
      <c r="G375" s="69"/>
      <c r="H375" s="70"/>
    </row>
    <row r="376" spans="1:8" x14ac:dyDescent="0.2">
      <c r="A376" s="14" t="s">
        <v>18</v>
      </c>
      <c r="B376" s="15" t="s">
        <v>16</v>
      </c>
      <c r="C376" s="67">
        <f>C374</f>
        <v>600</v>
      </c>
      <c r="D376" s="134">
        <f>+C375*D375/1000</f>
        <v>1.2500000000000001E-2</v>
      </c>
      <c r="E376" s="16">
        <f>C376*D376</f>
        <v>7.5</v>
      </c>
      <c r="G376" s="72"/>
      <c r="H376" s="65"/>
    </row>
    <row r="377" spans="1:8" x14ac:dyDescent="0.2">
      <c r="A377" s="14" t="s">
        <v>120</v>
      </c>
      <c r="B377" s="15" t="s">
        <v>17</v>
      </c>
      <c r="C377" s="72">
        <v>0.15</v>
      </c>
      <c r="D377" s="65">
        <v>45</v>
      </c>
      <c r="E377" s="16"/>
      <c r="G377" s="72"/>
      <c r="H377" s="65"/>
    </row>
    <row r="378" spans="1:8" x14ac:dyDescent="0.2">
      <c r="A378" s="14" t="s">
        <v>19</v>
      </c>
      <c r="B378" s="15" t="s">
        <v>16</v>
      </c>
      <c r="C378" s="67">
        <f>C374</f>
        <v>600</v>
      </c>
      <c r="D378" s="134">
        <f>+C377*D377/1000</f>
        <v>6.7499999999999999E-3</v>
      </c>
      <c r="E378" s="16">
        <f>C378*D378</f>
        <v>4.05</v>
      </c>
      <c r="G378" s="72"/>
      <c r="H378" s="65"/>
    </row>
    <row r="379" spans="1:8" ht="11.25" customHeight="1" x14ac:dyDescent="0.2">
      <c r="A379" s="14" t="s">
        <v>121</v>
      </c>
      <c r="B379" s="15" t="s">
        <v>17</v>
      </c>
      <c r="C379" s="72">
        <v>0.15</v>
      </c>
      <c r="D379" s="65">
        <v>36</v>
      </c>
      <c r="E379" s="16"/>
      <c r="G379" s="72"/>
      <c r="H379" s="65"/>
    </row>
    <row r="380" spans="1:8" x14ac:dyDescent="0.2">
      <c r="A380" s="14" t="s">
        <v>20</v>
      </c>
      <c r="B380" s="15" t="s">
        <v>16</v>
      </c>
      <c r="C380" s="67">
        <f>C374</f>
        <v>600</v>
      </c>
      <c r="D380" s="134">
        <f>+C379*D379/1000</f>
        <v>5.3999999999999994E-3</v>
      </c>
      <c r="E380" s="16">
        <f>C380*D380</f>
        <v>3.2399999999999998</v>
      </c>
    </row>
    <row r="381" spans="1:8" x14ac:dyDescent="0.2">
      <c r="A381" s="14" t="s">
        <v>21</v>
      </c>
      <c r="B381" s="15" t="s">
        <v>22</v>
      </c>
      <c r="C381" s="72">
        <v>0.3</v>
      </c>
      <c r="D381" s="65">
        <v>25</v>
      </c>
      <c r="E381" s="16"/>
    </row>
    <row r="382" spans="1:8" ht="11.25" customHeight="1" x14ac:dyDescent="0.2">
      <c r="A382" s="14" t="s">
        <v>23</v>
      </c>
      <c r="B382" s="15" t="s">
        <v>16</v>
      </c>
      <c r="C382" s="67">
        <f>C374</f>
        <v>600</v>
      </c>
      <c r="D382" s="134">
        <f>+C381*D381/1000</f>
        <v>7.4999999999999997E-3</v>
      </c>
      <c r="E382" s="16">
        <f>C382*D382</f>
        <v>4.5</v>
      </c>
    </row>
    <row r="383" spans="1:8" ht="24.75" customHeight="1" thickBot="1" x14ac:dyDescent="0.25">
      <c r="A383" s="74" t="s">
        <v>126</v>
      </c>
      <c r="B383" s="75" t="s">
        <v>89</v>
      </c>
      <c r="C383" s="135"/>
      <c r="D383" s="136">
        <f>IFERROR(D374+D376+D378+D380+D382,0)</f>
        <v>1.897864285714286</v>
      </c>
      <c r="E383" s="16"/>
    </row>
    <row r="384" spans="1:8" ht="12.6" customHeight="1" thickBot="1" x14ac:dyDescent="0.25">
      <c r="F384" s="19">
        <f>SUM(E373:E382)</f>
        <v>1138.7185714285715</v>
      </c>
    </row>
    <row r="386" spans="1:7" ht="16.149999999999999" customHeight="1" thickBot="1" x14ac:dyDescent="0.25">
      <c r="A386" s="5" t="s">
        <v>165</v>
      </c>
    </row>
    <row r="387" spans="1:7" ht="13.5" thickBot="1" x14ac:dyDescent="0.25">
      <c r="A387" s="53" t="s">
        <v>50</v>
      </c>
      <c r="B387" s="54" t="s">
        <v>51</v>
      </c>
      <c r="C387" s="54" t="s">
        <v>33</v>
      </c>
      <c r="D387" s="55" t="s">
        <v>118</v>
      </c>
      <c r="E387" s="55" t="s">
        <v>52</v>
      </c>
      <c r="F387" s="56" t="s">
        <v>53</v>
      </c>
    </row>
    <row r="388" spans="1:7" ht="25.5" customHeight="1" thickBot="1" x14ac:dyDescent="0.25">
      <c r="A388" s="11" t="s">
        <v>87</v>
      </c>
      <c r="B388" s="12" t="s">
        <v>89</v>
      </c>
      <c r="C388" s="67">
        <f>C374</f>
        <v>600</v>
      </c>
      <c r="D388" s="63">
        <v>1.2</v>
      </c>
      <c r="E388" s="13">
        <f>C388*D388</f>
        <v>720</v>
      </c>
    </row>
    <row r="389" spans="1:7" ht="12.6" customHeight="1" thickBot="1" x14ac:dyDescent="0.25">
      <c r="F389" s="19">
        <f>E388</f>
        <v>720</v>
      </c>
    </row>
    <row r="390" spans="1:7" s="2" customFormat="1" ht="9.75" customHeight="1" x14ac:dyDescent="0.2">
      <c r="A390" s="7"/>
      <c r="B390" s="7"/>
      <c r="C390" s="7"/>
      <c r="D390" s="8"/>
      <c r="E390" s="8"/>
      <c r="F390" s="8"/>
      <c r="G390" s="4"/>
    </row>
    <row r="391" spans="1:7" s="2" customFormat="1" ht="9.75" customHeight="1" thickBot="1" x14ac:dyDescent="0.25">
      <c r="A391" s="5" t="s">
        <v>166</v>
      </c>
      <c r="B391" s="7"/>
      <c r="C391" s="7"/>
      <c r="D391" s="8"/>
      <c r="E391" s="8"/>
      <c r="F391" s="8"/>
      <c r="G391" s="4"/>
    </row>
    <row r="392" spans="1:7" s="2" customFormat="1" ht="9.75" customHeight="1" thickBot="1" x14ac:dyDescent="0.25">
      <c r="A392" s="53" t="s">
        <v>50</v>
      </c>
      <c r="B392" s="54" t="s">
        <v>51</v>
      </c>
      <c r="C392" s="54" t="s">
        <v>33</v>
      </c>
      <c r="D392" s="55" t="s">
        <v>118</v>
      </c>
      <c r="E392" s="55" t="s">
        <v>52</v>
      </c>
      <c r="F392" s="56" t="s">
        <v>53</v>
      </c>
      <c r="G392" s="4"/>
    </row>
    <row r="393" spans="1:7" x14ac:dyDescent="0.2">
      <c r="A393" s="11" t="s">
        <v>68</v>
      </c>
      <c r="B393" s="12" t="s">
        <v>9</v>
      </c>
      <c r="C393" s="68">
        <v>6</v>
      </c>
      <c r="D393" s="63">
        <v>1800</v>
      </c>
      <c r="E393" s="13">
        <f>C393*D393</f>
        <v>10800</v>
      </c>
    </row>
    <row r="394" spans="1:7" x14ac:dyDescent="0.2">
      <c r="A394" s="11" t="s">
        <v>90</v>
      </c>
      <c r="B394" s="12" t="s">
        <v>9</v>
      </c>
      <c r="C394" s="68">
        <v>2</v>
      </c>
      <c r="D394" s="77"/>
      <c r="E394" s="13"/>
    </row>
    <row r="395" spans="1:7" x14ac:dyDescent="0.2">
      <c r="A395" s="11" t="s">
        <v>57</v>
      </c>
      <c r="B395" s="12" t="s">
        <v>9</v>
      </c>
      <c r="C395" s="13">
        <f>C393*C394</f>
        <v>12</v>
      </c>
      <c r="D395" s="63">
        <v>500</v>
      </c>
      <c r="E395" s="13">
        <f>C395*D395</f>
        <v>6000</v>
      </c>
    </row>
    <row r="396" spans="1:7" x14ac:dyDescent="0.2">
      <c r="A396" s="14" t="s">
        <v>69</v>
      </c>
      <c r="B396" s="15" t="s">
        <v>24</v>
      </c>
      <c r="C396" s="71">
        <v>50000</v>
      </c>
      <c r="D396" s="16">
        <f>E393+E395</f>
        <v>16800</v>
      </c>
      <c r="E396" s="16">
        <f>IFERROR(D396/C396,"-")</f>
        <v>0.33600000000000002</v>
      </c>
    </row>
    <row r="397" spans="1:7" ht="13.5" thickBot="1" x14ac:dyDescent="0.25">
      <c r="A397" s="14" t="s">
        <v>45</v>
      </c>
      <c r="B397" s="15" t="s">
        <v>16</v>
      </c>
      <c r="C397" s="67">
        <f>B370</f>
        <v>600</v>
      </c>
      <c r="D397" s="16">
        <f>E396</f>
        <v>0.33600000000000002</v>
      </c>
      <c r="E397" s="16">
        <f>IFERROR(C397*D397,0)</f>
        <v>201.60000000000002</v>
      </c>
    </row>
    <row r="398" spans="1:7" ht="13.5" thickBot="1" x14ac:dyDescent="0.25">
      <c r="F398" s="19">
        <f>E397</f>
        <v>201.60000000000002</v>
      </c>
    </row>
    <row r="400" spans="1:7" x14ac:dyDescent="0.2">
      <c r="A400" s="5" t="s">
        <v>167</v>
      </c>
      <c r="G400" s="7"/>
    </row>
    <row r="401" spans="1:8" x14ac:dyDescent="0.2">
      <c r="G401" s="7"/>
      <c r="H401" s="167"/>
    </row>
    <row r="402" spans="1:8" ht="13.5" thickBot="1" x14ac:dyDescent="0.25">
      <c r="A402" s="78" t="s">
        <v>168</v>
      </c>
      <c r="G402" s="7"/>
    </row>
    <row r="403" spans="1:8" ht="13.5" thickBot="1" x14ac:dyDescent="0.25">
      <c r="A403" s="53">
        <v>2</v>
      </c>
      <c r="B403" s="54" t="s">
        <v>51</v>
      </c>
      <c r="C403" s="54" t="s">
        <v>33</v>
      </c>
      <c r="D403" s="55" t="s">
        <v>118</v>
      </c>
      <c r="E403" s="55" t="s">
        <v>52</v>
      </c>
      <c r="F403" s="56" t="s">
        <v>53</v>
      </c>
      <c r="G403" s="7"/>
      <c r="H403" s="7" t="s">
        <v>207</v>
      </c>
    </row>
    <row r="404" spans="1:8" x14ac:dyDescent="0.2">
      <c r="A404" s="11" t="s">
        <v>78</v>
      </c>
      <c r="B404" s="12" t="s">
        <v>9</v>
      </c>
      <c r="C404" s="139">
        <v>1</v>
      </c>
      <c r="D404" s="63">
        <v>96557.43</v>
      </c>
      <c r="E404" s="13">
        <f>C404*D404</f>
        <v>96557.43</v>
      </c>
      <c r="G404" s="7"/>
      <c r="H404" s="7" t="s">
        <v>208</v>
      </c>
    </row>
    <row r="405" spans="1:8" x14ac:dyDescent="0.2">
      <c r="A405" s="14" t="s">
        <v>75</v>
      </c>
      <c r="B405" s="15" t="s">
        <v>76</v>
      </c>
      <c r="C405" s="62">
        <v>5</v>
      </c>
      <c r="D405" s="60"/>
      <c r="E405" s="16"/>
      <c r="G405" s="7"/>
    </row>
    <row r="406" spans="1:8" x14ac:dyDescent="0.2">
      <c r="A406" s="14" t="s">
        <v>101</v>
      </c>
      <c r="B406" s="15" t="s">
        <v>76</v>
      </c>
      <c r="C406" s="62">
        <v>0</v>
      </c>
      <c r="D406" s="16"/>
      <c r="E406" s="16"/>
      <c r="F406" s="18"/>
      <c r="G406" s="7"/>
    </row>
    <row r="407" spans="1:8" x14ac:dyDescent="0.2">
      <c r="A407" s="14" t="s">
        <v>77</v>
      </c>
      <c r="B407" s="15" t="s">
        <v>1</v>
      </c>
      <c r="C407" s="105">
        <v>65.180000000000007</v>
      </c>
      <c r="D407" s="16">
        <f>E404</f>
        <v>96557.43</v>
      </c>
      <c r="E407" s="16">
        <f>C407*D407/100</f>
        <v>62936.132873999995</v>
      </c>
      <c r="G407" s="7"/>
    </row>
    <row r="408" spans="1:8" ht="13.5" thickBot="1" x14ac:dyDescent="0.25">
      <c r="A408" s="141" t="s">
        <v>199</v>
      </c>
      <c r="B408" s="142" t="s">
        <v>7</v>
      </c>
      <c r="C408" s="142">
        <f>C405*12</f>
        <v>60</v>
      </c>
      <c r="D408" s="143">
        <f>IF(C406&lt;=C405,E407,0)</f>
        <v>62936.132873999995</v>
      </c>
      <c r="E408" s="143">
        <f>IFERROR(D408/C408,0)</f>
        <v>1048.9355478999998</v>
      </c>
      <c r="G408" s="7"/>
    </row>
    <row r="409" spans="1:8" ht="13.5" thickTop="1" x14ac:dyDescent="0.2">
      <c r="A409" s="88" t="s">
        <v>128</v>
      </c>
      <c r="B409" s="89"/>
      <c r="C409" s="89"/>
      <c r="D409" s="90"/>
      <c r="E409" s="91">
        <f>E408</f>
        <v>1048.9355478999998</v>
      </c>
      <c r="G409" s="7"/>
    </row>
    <row r="410" spans="1:8" ht="13.5" thickBot="1" x14ac:dyDescent="0.25">
      <c r="A410" s="74" t="s">
        <v>129</v>
      </c>
      <c r="B410" s="75" t="s">
        <v>9</v>
      </c>
      <c r="C410" s="62">
        <v>2</v>
      </c>
      <c r="D410" s="76">
        <f>E409</f>
        <v>1048.9355478999998</v>
      </c>
      <c r="E410" s="91">
        <f>C410*D410</f>
        <v>2097.8710957999997</v>
      </c>
      <c r="G410" s="61"/>
    </row>
    <row r="411" spans="1:8" ht="13.5" thickBot="1" x14ac:dyDescent="0.25">
      <c r="A411" s="138"/>
      <c r="B411" s="138"/>
      <c r="C411" s="138"/>
      <c r="D411" s="93" t="s">
        <v>93</v>
      </c>
      <c r="E411" s="45">
        <f>$B$70</f>
        <v>1</v>
      </c>
      <c r="F411" s="19">
        <f>E410*E411</f>
        <v>2097.8710957999997</v>
      </c>
      <c r="G411" s="7"/>
    </row>
    <row r="412" spans="1:8" x14ac:dyDescent="0.2">
      <c r="G412" s="7"/>
    </row>
    <row r="413" spans="1:8" ht="13.5" thickBot="1" x14ac:dyDescent="0.25">
      <c r="A413" s="78" t="s">
        <v>169</v>
      </c>
      <c r="G413" s="7"/>
    </row>
    <row r="414" spans="1:8" ht="13.5" thickBot="1" x14ac:dyDescent="0.25">
      <c r="A414" s="80" t="s">
        <v>50</v>
      </c>
      <c r="B414" s="81" t="s">
        <v>51</v>
      </c>
      <c r="C414" s="81" t="s">
        <v>33</v>
      </c>
      <c r="D414" s="55" t="s">
        <v>118</v>
      </c>
      <c r="E414" s="82" t="s">
        <v>52</v>
      </c>
      <c r="F414" s="56" t="s">
        <v>53</v>
      </c>
      <c r="G414" s="7"/>
    </row>
    <row r="415" spans="1:8" x14ac:dyDescent="0.2">
      <c r="A415" s="14" t="s">
        <v>81</v>
      </c>
      <c r="B415" s="15" t="s">
        <v>9</v>
      </c>
      <c r="C415" s="139">
        <v>1</v>
      </c>
      <c r="D415" s="16">
        <f>D404</f>
        <v>96557.43</v>
      </c>
      <c r="E415" s="16">
        <f>C415*D415</f>
        <v>96557.43</v>
      </c>
      <c r="F415" s="18"/>
      <c r="G415" s="7"/>
    </row>
    <row r="416" spans="1:8" x14ac:dyDescent="0.2">
      <c r="A416" s="14" t="s">
        <v>104</v>
      </c>
      <c r="B416" s="15" t="s">
        <v>1</v>
      </c>
      <c r="C416" s="62">
        <v>13.75</v>
      </c>
      <c r="D416" s="16"/>
      <c r="E416" s="16"/>
      <c r="F416" s="18"/>
      <c r="G416" s="7"/>
    </row>
    <row r="417" spans="1:7" ht="11.25" customHeight="1" x14ac:dyDescent="0.2">
      <c r="A417" s="14" t="s">
        <v>102</v>
      </c>
      <c r="B417" s="15" t="s">
        <v>27</v>
      </c>
      <c r="C417" s="108">
        <f>IFERROR(IF(C406&lt;=C405,E404-(C407/(100*C405)*C406)*E404,E404-E407),0)</f>
        <v>96557.43</v>
      </c>
      <c r="D417" s="16"/>
      <c r="E417" s="16"/>
      <c r="F417" s="18"/>
      <c r="G417" s="7"/>
    </row>
    <row r="418" spans="1:7" x14ac:dyDescent="0.2">
      <c r="A418" s="14" t="s">
        <v>85</v>
      </c>
      <c r="B418" s="15" t="s">
        <v>27</v>
      </c>
      <c r="C418" s="60">
        <f>IFERROR(IF(C406&gt;=C405,C417,((((C417)-(E404-E407))*(((C405-C406)+1)/(2*(C405-C406))))+(E404-E407))),0)</f>
        <v>71382.976850399995</v>
      </c>
      <c r="D418" s="16"/>
      <c r="E418" s="16"/>
      <c r="F418" s="18"/>
      <c r="G418" s="7"/>
    </row>
    <row r="419" spans="1:7" ht="11.25" customHeight="1" thickBot="1" x14ac:dyDescent="0.25">
      <c r="A419" s="141" t="s">
        <v>86</v>
      </c>
      <c r="B419" s="142" t="s">
        <v>27</v>
      </c>
      <c r="C419" s="142"/>
      <c r="D419" s="144">
        <f>C416*C418/12/100</f>
        <v>817.92994307749996</v>
      </c>
      <c r="E419" s="143">
        <f>D419</f>
        <v>817.92994307749996</v>
      </c>
      <c r="F419" s="18"/>
      <c r="G419" s="7"/>
    </row>
    <row r="420" spans="1:7" ht="13.5" thickTop="1" x14ac:dyDescent="0.2">
      <c r="A420" s="88" t="s">
        <v>128</v>
      </c>
      <c r="B420" s="89"/>
      <c r="C420" s="89"/>
      <c r="D420" s="90"/>
      <c r="E420" s="91">
        <f>E419</f>
        <v>817.92994307749996</v>
      </c>
      <c r="F420" s="18"/>
      <c r="G420" s="7"/>
    </row>
    <row r="421" spans="1:7" ht="13.5" thickBot="1" x14ac:dyDescent="0.25">
      <c r="A421" s="74" t="s">
        <v>129</v>
      </c>
      <c r="B421" s="75" t="s">
        <v>9</v>
      </c>
      <c r="C421" s="140">
        <f>C410</f>
        <v>2</v>
      </c>
      <c r="D421" s="76">
        <f>E420</f>
        <v>817.92994307749996</v>
      </c>
      <c r="E421" s="91">
        <f>C421*D421</f>
        <v>1635.8598861549999</v>
      </c>
      <c r="F421" s="18"/>
      <c r="G421" s="7"/>
    </row>
    <row r="422" spans="1:7" ht="11.25" customHeight="1" thickBot="1" x14ac:dyDescent="0.25">
      <c r="C422" s="17"/>
      <c r="D422" s="93" t="s">
        <v>93</v>
      </c>
      <c r="E422" s="45">
        <f>$B$70</f>
        <v>1</v>
      </c>
      <c r="F422" s="19">
        <f>E421*E422</f>
        <v>1635.8598861549999</v>
      </c>
      <c r="G422" s="7"/>
    </row>
    <row r="423" spans="1:7" x14ac:dyDescent="0.2">
      <c r="G423" s="7"/>
    </row>
    <row r="424" spans="1:7" ht="11.25" customHeight="1" thickBot="1" x14ac:dyDescent="0.25">
      <c r="A424" s="5" t="s">
        <v>170</v>
      </c>
      <c r="G424" s="7"/>
    </row>
    <row r="425" spans="1:7" ht="13.5" thickBot="1" x14ac:dyDescent="0.25">
      <c r="A425" s="53" t="s">
        <v>50</v>
      </c>
      <c r="B425" s="54" t="s">
        <v>51</v>
      </c>
      <c r="C425" s="54" t="s">
        <v>33</v>
      </c>
      <c r="D425" s="55" t="s">
        <v>118</v>
      </c>
      <c r="E425" s="55" t="s">
        <v>52</v>
      </c>
      <c r="F425" s="56" t="s">
        <v>53</v>
      </c>
    </row>
    <row r="426" spans="1:7" ht="11.25" customHeight="1" x14ac:dyDescent="0.2">
      <c r="A426" s="11" t="s">
        <v>10</v>
      </c>
      <c r="B426" s="12" t="s">
        <v>9</v>
      </c>
      <c r="C426" s="13">
        <f>C410</f>
        <v>2</v>
      </c>
      <c r="D426" s="13">
        <f>0.01*(D404)</f>
        <v>965.57429999999999</v>
      </c>
      <c r="E426" s="13">
        <f>C426*D426</f>
        <v>1931.1486</v>
      </c>
    </row>
    <row r="427" spans="1:7" x14ac:dyDescent="0.2">
      <c r="A427" s="14" t="s">
        <v>92</v>
      </c>
      <c r="B427" s="15" t="s">
        <v>9</v>
      </c>
      <c r="C427" s="13">
        <f>C410</f>
        <v>2</v>
      </c>
      <c r="D427" s="65">
        <v>250</v>
      </c>
      <c r="E427" s="16">
        <f>C427*D427</f>
        <v>500</v>
      </c>
    </row>
    <row r="428" spans="1:7" x14ac:dyDescent="0.2">
      <c r="A428" s="14" t="s">
        <v>11</v>
      </c>
      <c r="B428" s="15" t="s">
        <v>9</v>
      </c>
      <c r="C428" s="13">
        <f>C410</f>
        <v>2</v>
      </c>
      <c r="D428" s="65">
        <v>2500</v>
      </c>
      <c r="E428" s="16">
        <f>C428*D428</f>
        <v>5000</v>
      </c>
      <c r="F428" s="29"/>
    </row>
    <row r="429" spans="1:7" ht="13.5" thickBot="1" x14ac:dyDescent="0.25">
      <c r="A429" s="74" t="s">
        <v>12</v>
      </c>
      <c r="B429" s="75" t="s">
        <v>7</v>
      </c>
      <c r="C429" s="75">
        <v>12</v>
      </c>
      <c r="D429" s="76">
        <f>SUM(E426:E428)</f>
        <v>7431.1486000000004</v>
      </c>
      <c r="E429" s="76">
        <f>D429/C429</f>
        <v>619.26238333333333</v>
      </c>
    </row>
    <row r="430" spans="1:7" ht="13.5" thickBot="1" x14ac:dyDescent="0.25">
      <c r="D430" s="93" t="s">
        <v>93</v>
      </c>
      <c r="E430" s="45">
        <f>$B$70</f>
        <v>1</v>
      </c>
      <c r="F430" s="94">
        <f>E429*E430</f>
        <v>619.26238333333333</v>
      </c>
    </row>
    <row r="432" spans="1:7" x14ac:dyDescent="0.2">
      <c r="A432" s="5" t="s">
        <v>171</v>
      </c>
      <c r="B432" s="30"/>
    </row>
    <row r="433" spans="1:6" x14ac:dyDescent="0.2">
      <c r="A433" s="74" t="s">
        <v>88</v>
      </c>
      <c r="B433" s="85">
        <f>22*100*2</f>
        <v>4400</v>
      </c>
    </row>
    <row r="434" spans="1:6" ht="11.25" customHeight="1" thickBot="1" x14ac:dyDescent="0.25">
      <c r="B434" s="30"/>
    </row>
    <row r="435" spans="1:6" ht="17.25" customHeight="1" thickBot="1" x14ac:dyDescent="0.25">
      <c r="A435" s="53" t="s">
        <v>50</v>
      </c>
      <c r="B435" s="54" t="s">
        <v>51</v>
      </c>
      <c r="C435" s="54" t="s">
        <v>127</v>
      </c>
      <c r="D435" s="55" t="s">
        <v>118</v>
      </c>
      <c r="E435" s="55" t="s">
        <v>52</v>
      </c>
      <c r="F435" s="56" t="s">
        <v>53</v>
      </c>
    </row>
    <row r="436" spans="1:6" ht="11.25" customHeight="1" x14ac:dyDescent="0.2">
      <c r="A436" s="11" t="s">
        <v>13</v>
      </c>
      <c r="B436" s="12" t="s">
        <v>14</v>
      </c>
      <c r="C436" s="69">
        <v>7</v>
      </c>
      <c r="D436" s="70">
        <v>4.8</v>
      </c>
      <c r="E436" s="13"/>
    </row>
    <row r="437" spans="1:6" x14ac:dyDescent="0.2">
      <c r="A437" s="14" t="s">
        <v>15</v>
      </c>
      <c r="B437" s="15" t="s">
        <v>16</v>
      </c>
      <c r="C437" s="67">
        <f>B433</f>
        <v>4400</v>
      </c>
      <c r="D437" s="137">
        <f>IFERROR(+D436/C436,"-")</f>
        <v>0.68571428571428572</v>
      </c>
      <c r="E437" s="16">
        <f>IFERROR(C437*D437,"-")</f>
        <v>3017.1428571428573</v>
      </c>
    </row>
    <row r="438" spans="1:6" ht="11.25" customHeight="1" x14ac:dyDescent="0.2">
      <c r="A438" s="14" t="s">
        <v>119</v>
      </c>
      <c r="B438" s="15" t="s">
        <v>17</v>
      </c>
      <c r="C438" s="72">
        <v>0.5</v>
      </c>
      <c r="D438" s="65">
        <v>25</v>
      </c>
      <c r="E438" s="16"/>
    </row>
    <row r="439" spans="1:6" x14ac:dyDescent="0.2">
      <c r="A439" s="14" t="s">
        <v>18</v>
      </c>
      <c r="B439" s="15" t="s">
        <v>16</v>
      </c>
      <c r="C439" s="67">
        <f>C437</f>
        <v>4400</v>
      </c>
      <c r="D439" s="134">
        <f>+C438*D438/1000</f>
        <v>1.2500000000000001E-2</v>
      </c>
      <c r="E439" s="16">
        <f>C439*D439</f>
        <v>55</v>
      </c>
    </row>
    <row r="440" spans="1:6" x14ac:dyDescent="0.2">
      <c r="A440" s="14" t="s">
        <v>120</v>
      </c>
      <c r="B440" s="15" t="s">
        <v>17</v>
      </c>
      <c r="C440" s="72">
        <v>0.15</v>
      </c>
      <c r="D440" s="65">
        <v>45</v>
      </c>
      <c r="E440" s="16"/>
    </row>
    <row r="441" spans="1:6" x14ac:dyDescent="0.2">
      <c r="A441" s="14" t="s">
        <v>19</v>
      </c>
      <c r="B441" s="15" t="s">
        <v>16</v>
      </c>
      <c r="C441" s="67">
        <f>C437</f>
        <v>4400</v>
      </c>
      <c r="D441" s="134">
        <f>+C440*D440/1000</f>
        <v>6.7499999999999999E-3</v>
      </c>
      <c r="E441" s="16">
        <f>C441*D441</f>
        <v>29.7</v>
      </c>
    </row>
    <row r="442" spans="1:6" ht="11.25" customHeight="1" x14ac:dyDescent="0.2">
      <c r="A442" s="14" t="s">
        <v>121</v>
      </c>
      <c r="B442" s="15" t="s">
        <v>17</v>
      </c>
      <c r="C442" s="72">
        <v>0.15</v>
      </c>
      <c r="D442" s="65">
        <v>36</v>
      </c>
      <c r="E442" s="16"/>
    </row>
    <row r="443" spans="1:6" x14ac:dyDescent="0.2">
      <c r="A443" s="14" t="s">
        <v>20</v>
      </c>
      <c r="B443" s="15" t="s">
        <v>16</v>
      </c>
      <c r="C443" s="67">
        <f>C437</f>
        <v>4400</v>
      </c>
      <c r="D443" s="134">
        <f>+C442*D442/1000</f>
        <v>5.3999999999999994E-3</v>
      </c>
      <c r="E443" s="16">
        <f>C443*D443</f>
        <v>23.759999999999998</v>
      </c>
    </row>
    <row r="444" spans="1:6" x14ac:dyDescent="0.2">
      <c r="A444" s="14" t="s">
        <v>21</v>
      </c>
      <c r="B444" s="15" t="s">
        <v>22</v>
      </c>
      <c r="C444" s="72">
        <v>0.3</v>
      </c>
      <c r="D444" s="65">
        <v>25</v>
      </c>
      <c r="E444" s="16"/>
    </row>
    <row r="445" spans="1:6" ht="11.25" customHeight="1" x14ac:dyDescent="0.2">
      <c r="A445" s="14" t="s">
        <v>23</v>
      </c>
      <c r="B445" s="15" t="s">
        <v>16</v>
      </c>
      <c r="C445" s="67">
        <f>C437</f>
        <v>4400</v>
      </c>
      <c r="D445" s="134">
        <f>+C444*D444/1000</f>
        <v>7.4999999999999997E-3</v>
      </c>
      <c r="E445" s="16">
        <f>C445*D445</f>
        <v>33</v>
      </c>
    </row>
    <row r="446" spans="1:6" ht="24.75" customHeight="1" thickBot="1" x14ac:dyDescent="0.25">
      <c r="A446" s="74" t="s">
        <v>126</v>
      </c>
      <c r="B446" s="75" t="s">
        <v>89</v>
      </c>
      <c r="C446" s="135"/>
      <c r="D446" s="136">
        <f>IFERROR(D437+D439+D441+D443+D445,0)</f>
        <v>0.71786428571428562</v>
      </c>
      <c r="E446" s="16"/>
    </row>
    <row r="447" spans="1:6" ht="12.6" customHeight="1" thickBot="1" x14ac:dyDescent="0.25">
      <c r="F447" s="19">
        <f>SUM(E436:E445)</f>
        <v>3158.6028571428574</v>
      </c>
    </row>
    <row r="449" spans="1:7" ht="16.149999999999999" customHeight="1" thickBot="1" x14ac:dyDescent="0.25">
      <c r="A449" s="5" t="s">
        <v>172</v>
      </c>
    </row>
    <row r="450" spans="1:7" ht="13.5" thickBot="1" x14ac:dyDescent="0.25">
      <c r="A450" s="53" t="s">
        <v>50</v>
      </c>
      <c r="B450" s="54" t="s">
        <v>51</v>
      </c>
      <c r="C450" s="54" t="s">
        <v>33</v>
      </c>
      <c r="D450" s="55" t="s">
        <v>118</v>
      </c>
      <c r="E450" s="55" t="s">
        <v>52</v>
      </c>
      <c r="F450" s="56" t="s">
        <v>53</v>
      </c>
    </row>
    <row r="451" spans="1:7" ht="25.5" customHeight="1" thickBot="1" x14ac:dyDescent="0.25">
      <c r="A451" s="146" t="s">
        <v>209</v>
      </c>
      <c r="B451" s="12" t="s">
        <v>89</v>
      </c>
      <c r="C451" s="67">
        <f>C437</f>
        <v>4400</v>
      </c>
      <c r="D451" s="63">
        <v>0.5</v>
      </c>
      <c r="E451" s="13">
        <f>C451*D451</f>
        <v>2200</v>
      </c>
    </row>
    <row r="452" spans="1:7" ht="12.6" customHeight="1" thickBot="1" x14ac:dyDescent="0.25">
      <c r="F452" s="19">
        <f>E451</f>
        <v>2200</v>
      </c>
    </row>
    <row r="453" spans="1:7" s="2" customFormat="1" ht="9.75" customHeight="1" x14ac:dyDescent="0.2">
      <c r="A453" s="7"/>
      <c r="B453" s="7"/>
      <c r="C453" s="7"/>
      <c r="D453" s="8"/>
      <c r="E453" s="8"/>
      <c r="F453" s="8"/>
      <c r="G453" s="4"/>
    </row>
    <row r="454" spans="1:7" s="2" customFormat="1" ht="9.75" customHeight="1" thickBot="1" x14ac:dyDescent="0.25">
      <c r="A454" s="5" t="s">
        <v>173</v>
      </c>
      <c r="B454" s="7"/>
      <c r="C454" s="7"/>
      <c r="D454" s="8"/>
      <c r="E454" s="8"/>
      <c r="F454" s="8"/>
      <c r="G454" s="4"/>
    </row>
    <row r="455" spans="1:7" s="2" customFormat="1" ht="9.75" customHeight="1" thickBot="1" x14ac:dyDescent="0.25">
      <c r="A455" s="53" t="s">
        <v>50</v>
      </c>
      <c r="B455" s="54" t="s">
        <v>51</v>
      </c>
      <c r="C455" s="54" t="s">
        <v>33</v>
      </c>
      <c r="D455" s="55" t="s">
        <v>118</v>
      </c>
      <c r="E455" s="55" t="s">
        <v>52</v>
      </c>
      <c r="F455" s="56" t="s">
        <v>53</v>
      </c>
      <c r="G455" s="4"/>
    </row>
    <row r="456" spans="1:7" x14ac:dyDescent="0.2">
      <c r="A456" s="146" t="s">
        <v>210</v>
      </c>
      <c r="B456" s="12" t="s">
        <v>9</v>
      </c>
      <c r="C456" s="68">
        <v>4</v>
      </c>
      <c r="D456" s="63">
        <v>650</v>
      </c>
      <c r="E456" s="13">
        <f>C456*D456</f>
        <v>2600</v>
      </c>
    </row>
    <row r="457" spans="1:7" x14ac:dyDescent="0.2">
      <c r="A457" s="11" t="s">
        <v>90</v>
      </c>
      <c r="B457" s="12" t="s">
        <v>9</v>
      </c>
      <c r="C457" s="68">
        <v>0</v>
      </c>
      <c r="D457" s="77"/>
      <c r="E457" s="13"/>
    </row>
    <row r="458" spans="1:7" x14ac:dyDescent="0.2">
      <c r="A458" s="11" t="s">
        <v>57</v>
      </c>
      <c r="B458" s="12" t="s">
        <v>9</v>
      </c>
      <c r="C458" s="13">
        <f>C456*C457</f>
        <v>0</v>
      </c>
      <c r="D458" s="63">
        <v>0</v>
      </c>
      <c r="E458" s="13">
        <f>C458*D458</f>
        <v>0</v>
      </c>
    </row>
    <row r="459" spans="1:7" x14ac:dyDescent="0.2">
      <c r="A459" s="14" t="s">
        <v>69</v>
      </c>
      <c r="B459" s="15" t="s">
        <v>24</v>
      </c>
      <c r="C459" s="71">
        <v>40000</v>
      </c>
      <c r="D459" s="16">
        <f>E456+E458</f>
        <v>2600</v>
      </c>
      <c r="E459" s="16">
        <f>IFERROR(D459/C459,"-")</f>
        <v>6.5000000000000002E-2</v>
      </c>
    </row>
    <row r="460" spans="1:7" ht="13.5" thickBot="1" x14ac:dyDescent="0.25">
      <c r="A460" s="14" t="s">
        <v>45</v>
      </c>
      <c r="B460" s="15" t="s">
        <v>16</v>
      </c>
      <c r="C460" s="67">
        <f>B433</f>
        <v>4400</v>
      </c>
      <c r="D460" s="16">
        <f>E459</f>
        <v>6.5000000000000002E-2</v>
      </c>
      <c r="E460" s="16">
        <f>IFERROR(C460*D460,0)</f>
        <v>286</v>
      </c>
    </row>
    <row r="461" spans="1:7" ht="13.5" thickBot="1" x14ac:dyDescent="0.25">
      <c r="F461" s="19">
        <f>E460</f>
        <v>286</v>
      </c>
    </row>
    <row r="462" spans="1:7" ht="13.5" thickBot="1" x14ac:dyDescent="0.25"/>
    <row r="463" spans="1:7" ht="13.5" thickBot="1" x14ac:dyDescent="0.25">
      <c r="A463" s="22" t="s">
        <v>109</v>
      </c>
      <c r="B463" s="23"/>
      <c r="C463" s="23"/>
      <c r="D463" s="24"/>
      <c r="E463" s="25"/>
      <c r="F463" s="19">
        <f>F461+F452+F447+F430+F422+F411+F398+F389+F384+F367+F359+F343+F325+F316+F311+F294+F286+F270</f>
        <v>51875.950263116334</v>
      </c>
    </row>
    <row r="464" spans="1:7" x14ac:dyDescent="0.2">
      <c r="A464" s="32"/>
      <c r="B464" s="32"/>
      <c r="C464" s="32"/>
      <c r="D464" s="33"/>
      <c r="E464" s="33"/>
      <c r="F464" s="31"/>
    </row>
    <row r="465" spans="1:7" x14ac:dyDescent="0.2">
      <c r="A465" s="32" t="s">
        <v>59</v>
      </c>
      <c r="B465" s="32"/>
      <c r="C465" s="32"/>
      <c r="D465" s="33"/>
      <c r="E465" s="33"/>
      <c r="F465" s="31"/>
    </row>
    <row r="466" spans="1:7" ht="13.5" thickBot="1" x14ac:dyDescent="0.25"/>
    <row r="467" spans="1:7" ht="13.5" thickBot="1" x14ac:dyDescent="0.25">
      <c r="A467" s="80" t="s">
        <v>50</v>
      </c>
      <c r="B467" s="81" t="s">
        <v>51</v>
      </c>
      <c r="C467" s="81" t="s">
        <v>33</v>
      </c>
      <c r="D467" s="82" t="s">
        <v>118</v>
      </c>
      <c r="E467" s="82" t="s">
        <v>52</v>
      </c>
      <c r="F467" s="56" t="s">
        <v>53</v>
      </c>
    </row>
    <row r="468" spans="1:7" ht="30" x14ac:dyDescent="0.2">
      <c r="A468" s="236" t="s">
        <v>174</v>
      </c>
      <c r="B468" s="236" t="s">
        <v>154</v>
      </c>
      <c r="C468" s="73">
        <f>1/12</f>
        <v>8.3333333333333329E-2</v>
      </c>
      <c r="D468" s="65">
        <v>350</v>
      </c>
      <c r="E468" s="16">
        <f>C468*D468</f>
        <v>29.166666666666664</v>
      </c>
      <c r="F468" s="48"/>
      <c r="G468" s="7"/>
    </row>
    <row r="469" spans="1:7" ht="15" x14ac:dyDescent="0.2">
      <c r="A469" s="236" t="s">
        <v>175</v>
      </c>
      <c r="B469" s="236" t="s">
        <v>154</v>
      </c>
      <c r="C469" s="73">
        <f>1/12</f>
        <v>8.3333333333333329E-2</v>
      </c>
      <c r="D469" s="65">
        <v>210</v>
      </c>
      <c r="E469" s="16">
        <f t="shared" ref="E469:E472" si="3">C469*D469</f>
        <v>17.5</v>
      </c>
      <c r="F469" s="48"/>
      <c r="G469" s="7"/>
    </row>
    <row r="470" spans="1:7" ht="15" x14ac:dyDescent="0.2">
      <c r="A470" s="236" t="s">
        <v>176</v>
      </c>
      <c r="B470" s="236" t="s">
        <v>154</v>
      </c>
      <c r="C470" s="73">
        <f t="shared" ref="C470:C487" si="4">1/12</f>
        <v>8.3333333333333329E-2</v>
      </c>
      <c r="D470" s="65">
        <v>800</v>
      </c>
      <c r="E470" s="16">
        <f t="shared" si="3"/>
        <v>66.666666666666657</v>
      </c>
      <c r="F470" s="48"/>
      <c r="G470" s="7"/>
    </row>
    <row r="471" spans="1:7" ht="15" x14ac:dyDescent="0.2">
      <c r="A471" s="236" t="s">
        <v>177</v>
      </c>
      <c r="B471" s="236" t="s">
        <v>154</v>
      </c>
      <c r="C471" s="73">
        <f t="shared" si="4"/>
        <v>8.3333333333333329E-2</v>
      </c>
      <c r="D471" s="65">
        <v>100</v>
      </c>
      <c r="E471" s="16">
        <f t="shared" si="3"/>
        <v>8.3333333333333321</v>
      </c>
      <c r="F471" s="48"/>
      <c r="G471" s="7"/>
    </row>
    <row r="472" spans="1:7" ht="15" x14ac:dyDescent="0.2">
      <c r="A472" s="236" t="s">
        <v>178</v>
      </c>
      <c r="B472" s="236" t="s">
        <v>154</v>
      </c>
      <c r="C472" s="73">
        <f t="shared" si="4"/>
        <v>8.3333333333333329E-2</v>
      </c>
      <c r="D472" s="65">
        <v>46</v>
      </c>
      <c r="E472" s="16">
        <f t="shared" si="3"/>
        <v>3.833333333333333</v>
      </c>
      <c r="F472" s="48"/>
      <c r="G472" s="7"/>
    </row>
    <row r="473" spans="1:7" ht="15" x14ac:dyDescent="0.2">
      <c r="A473" s="236" t="s">
        <v>179</v>
      </c>
      <c r="B473" s="236" t="s">
        <v>154</v>
      </c>
      <c r="C473" s="73">
        <f t="shared" si="4"/>
        <v>8.3333333333333329E-2</v>
      </c>
      <c r="D473" s="65">
        <v>100</v>
      </c>
      <c r="E473" s="16">
        <f t="shared" ref="E473:E487" si="5">C473*D473</f>
        <v>8.3333333333333321</v>
      </c>
      <c r="F473" s="48"/>
      <c r="G473" s="7"/>
    </row>
    <row r="474" spans="1:7" ht="15" x14ac:dyDescent="0.2">
      <c r="A474" s="236" t="s">
        <v>180</v>
      </c>
      <c r="B474" s="236" t="s">
        <v>154</v>
      </c>
      <c r="C474" s="73">
        <f t="shared" si="4"/>
        <v>8.3333333333333329E-2</v>
      </c>
      <c r="D474" s="65">
        <v>75</v>
      </c>
      <c r="E474" s="16">
        <f t="shared" si="5"/>
        <v>6.25</v>
      </c>
      <c r="F474" s="48"/>
      <c r="G474" s="7"/>
    </row>
    <row r="475" spans="1:7" ht="30" x14ac:dyDescent="0.2">
      <c r="A475" s="236" t="s">
        <v>181</v>
      </c>
      <c r="B475" s="236" t="s">
        <v>154</v>
      </c>
      <c r="C475" s="73">
        <f t="shared" si="4"/>
        <v>8.3333333333333329E-2</v>
      </c>
      <c r="D475" s="65">
        <v>680</v>
      </c>
      <c r="E475" s="16">
        <f t="shared" si="5"/>
        <v>56.666666666666664</v>
      </c>
      <c r="F475" s="48"/>
      <c r="G475" s="7"/>
    </row>
    <row r="476" spans="1:7" ht="30" x14ac:dyDescent="0.2">
      <c r="A476" s="236" t="s">
        <v>182</v>
      </c>
      <c r="B476" s="236" t="s">
        <v>154</v>
      </c>
      <c r="C476" s="73">
        <f t="shared" si="4"/>
        <v>8.3333333333333329E-2</v>
      </c>
      <c r="D476" s="65">
        <v>75</v>
      </c>
      <c r="E476" s="16">
        <f t="shared" si="5"/>
        <v>6.25</v>
      </c>
      <c r="F476" s="48"/>
      <c r="G476" s="7"/>
    </row>
    <row r="477" spans="1:7" ht="30" x14ac:dyDescent="0.2">
      <c r="A477" s="236" t="s">
        <v>183</v>
      </c>
      <c r="B477" s="236" t="s">
        <v>154</v>
      </c>
      <c r="C477" s="73">
        <f t="shared" si="4"/>
        <v>8.3333333333333329E-2</v>
      </c>
      <c r="D477" s="65">
        <v>120</v>
      </c>
      <c r="E477" s="16">
        <f t="shared" si="5"/>
        <v>10</v>
      </c>
      <c r="F477" s="48"/>
      <c r="G477" s="7"/>
    </row>
    <row r="478" spans="1:7" ht="15" x14ac:dyDescent="0.2">
      <c r="A478" s="236" t="s">
        <v>184</v>
      </c>
      <c r="B478" s="236" t="s">
        <v>154</v>
      </c>
      <c r="C478" s="73">
        <v>0.16666666666666666</v>
      </c>
      <c r="D478" s="65">
        <v>67</v>
      </c>
      <c r="E478" s="16">
        <f t="shared" si="5"/>
        <v>11.166666666666666</v>
      </c>
      <c r="F478" s="48"/>
      <c r="G478" s="7"/>
    </row>
    <row r="479" spans="1:7" ht="15" x14ac:dyDescent="0.2">
      <c r="A479" s="236" t="s">
        <v>185</v>
      </c>
      <c r="B479" s="236" t="s">
        <v>154</v>
      </c>
      <c r="C479" s="73">
        <f t="shared" si="4"/>
        <v>8.3333333333333329E-2</v>
      </c>
      <c r="D479" s="65">
        <v>65</v>
      </c>
      <c r="E479" s="16">
        <f t="shared" si="5"/>
        <v>5.4166666666666661</v>
      </c>
      <c r="F479" s="48"/>
      <c r="G479" s="7"/>
    </row>
    <row r="480" spans="1:7" ht="15" x14ac:dyDescent="0.2">
      <c r="A480" s="236" t="s">
        <v>186</v>
      </c>
      <c r="B480" s="236" t="s">
        <v>154</v>
      </c>
      <c r="C480" s="73">
        <f t="shared" si="4"/>
        <v>8.3333333333333329E-2</v>
      </c>
      <c r="D480" s="65">
        <v>60</v>
      </c>
      <c r="E480" s="16">
        <f t="shared" si="5"/>
        <v>5</v>
      </c>
      <c r="F480" s="48"/>
      <c r="G480" s="7"/>
    </row>
    <row r="481" spans="1:7" ht="15" x14ac:dyDescent="0.2">
      <c r="A481" s="236" t="s">
        <v>187</v>
      </c>
      <c r="B481" s="236" t="s">
        <v>154</v>
      </c>
      <c r="C481" s="73">
        <f t="shared" si="4"/>
        <v>8.3333333333333329E-2</v>
      </c>
      <c r="D481" s="65">
        <v>40</v>
      </c>
      <c r="E481" s="16">
        <f t="shared" si="5"/>
        <v>3.333333333333333</v>
      </c>
      <c r="F481" s="48"/>
      <c r="G481" s="7"/>
    </row>
    <row r="482" spans="1:7" ht="15" x14ac:dyDescent="0.2">
      <c r="A482" s="236" t="s">
        <v>260</v>
      </c>
      <c r="B482" s="236" t="s">
        <v>154</v>
      </c>
      <c r="C482" s="73">
        <v>8.3333333333333329E-2</v>
      </c>
      <c r="D482" s="65">
        <v>800</v>
      </c>
      <c r="E482" s="16">
        <f t="shared" si="5"/>
        <v>66.666666666666657</v>
      </c>
      <c r="F482" s="48"/>
      <c r="G482" s="7"/>
    </row>
    <row r="483" spans="1:7" ht="15" x14ac:dyDescent="0.2">
      <c r="A483" s="236" t="s">
        <v>188</v>
      </c>
      <c r="B483" s="236" t="s">
        <v>154</v>
      </c>
      <c r="C483" s="73">
        <v>0.16666666666666666</v>
      </c>
      <c r="D483" s="65">
        <v>35</v>
      </c>
      <c r="E483" s="16">
        <f t="shared" si="5"/>
        <v>5.833333333333333</v>
      </c>
      <c r="F483" s="48"/>
      <c r="G483" s="7"/>
    </row>
    <row r="484" spans="1:7" ht="15" x14ac:dyDescent="0.2">
      <c r="A484" s="236" t="s">
        <v>189</v>
      </c>
      <c r="B484" s="236" t="s">
        <v>154</v>
      </c>
      <c r="C484" s="73">
        <f t="shared" si="4"/>
        <v>8.3333333333333329E-2</v>
      </c>
      <c r="D484" s="65">
        <v>150</v>
      </c>
      <c r="E484" s="16">
        <f t="shared" si="5"/>
        <v>12.5</v>
      </c>
      <c r="F484" s="48"/>
      <c r="G484" s="7"/>
    </row>
    <row r="485" spans="1:7" ht="15" x14ac:dyDescent="0.2">
      <c r="A485" s="236" t="s">
        <v>190</v>
      </c>
      <c r="B485" s="236" t="s">
        <v>154</v>
      </c>
      <c r="C485" s="73">
        <f t="shared" si="4"/>
        <v>8.3333333333333329E-2</v>
      </c>
      <c r="D485" s="65">
        <v>45</v>
      </c>
      <c r="E485" s="16">
        <f t="shared" si="5"/>
        <v>3.75</v>
      </c>
      <c r="F485" s="48"/>
      <c r="G485" s="7"/>
    </row>
    <row r="486" spans="1:7" ht="30" x14ac:dyDescent="0.2">
      <c r="A486" s="236" t="s">
        <v>191</v>
      </c>
      <c r="B486" s="236" t="s">
        <v>154</v>
      </c>
      <c r="C486" s="73">
        <v>1</v>
      </c>
      <c r="D486" s="65">
        <v>25</v>
      </c>
      <c r="E486" s="16">
        <f t="shared" si="5"/>
        <v>25</v>
      </c>
      <c r="F486" s="48"/>
      <c r="G486" s="7"/>
    </row>
    <row r="487" spans="1:7" ht="15" x14ac:dyDescent="0.2">
      <c r="A487" s="236" t="s">
        <v>192</v>
      </c>
      <c r="B487" s="236" t="s">
        <v>154</v>
      </c>
      <c r="C487" s="73">
        <f t="shared" si="4"/>
        <v>8.3333333333333329E-2</v>
      </c>
      <c r="D487" s="65">
        <v>30</v>
      </c>
      <c r="E487" s="16">
        <f t="shared" si="5"/>
        <v>2.5</v>
      </c>
      <c r="F487" s="48"/>
      <c r="G487" s="7"/>
    </row>
    <row r="488" spans="1:7" ht="15.75" thickBot="1" x14ac:dyDescent="0.25">
      <c r="A488" s="157"/>
      <c r="B488" s="233" t="s">
        <v>264</v>
      </c>
      <c r="C488" s="234">
        <v>6</v>
      </c>
      <c r="D488" s="235">
        <f>SUM(E468:E487)</f>
        <v>354.16666666666657</v>
      </c>
      <c r="E488" s="232"/>
      <c r="F488" s="48"/>
      <c r="G488" s="7"/>
    </row>
    <row r="489" spans="1:7" ht="13.5" thickBot="1" x14ac:dyDescent="0.25">
      <c r="A489" s="32"/>
      <c r="B489" s="32"/>
      <c r="C489" s="32"/>
      <c r="D489" s="32"/>
      <c r="E489" s="33"/>
      <c r="F489" s="19">
        <f>C488*D488</f>
        <v>2124.9999999999995</v>
      </c>
      <c r="G489" s="7"/>
    </row>
    <row r="490" spans="1:7" ht="13.5" thickBot="1" x14ac:dyDescent="0.25">
      <c r="G490" s="7"/>
    </row>
    <row r="491" spans="1:7" ht="13.5" thickBot="1" x14ac:dyDescent="0.25">
      <c r="A491" s="22" t="s">
        <v>110</v>
      </c>
      <c r="B491" s="23"/>
      <c r="C491" s="23"/>
      <c r="D491" s="24"/>
      <c r="E491" s="25"/>
      <c r="F491" s="19">
        <f>+F489</f>
        <v>2124.9999999999995</v>
      </c>
      <c r="G491" s="7"/>
    </row>
    <row r="493" spans="1:7" ht="13.5" thickBot="1" x14ac:dyDescent="0.25">
      <c r="G493" s="7"/>
    </row>
    <row r="494" spans="1:7" ht="13.5" thickBot="1" x14ac:dyDescent="0.25">
      <c r="A494" s="22" t="s">
        <v>111</v>
      </c>
      <c r="B494" s="26"/>
      <c r="C494" s="26"/>
      <c r="D494" s="27"/>
      <c r="E494" s="28"/>
      <c r="F494" s="20">
        <f>+F207+F250+F463+F491</f>
        <v>122408.34132572773</v>
      </c>
      <c r="G494" s="7"/>
    </row>
    <row r="496" spans="1:7" x14ac:dyDescent="0.2">
      <c r="A496" s="9" t="s">
        <v>193</v>
      </c>
      <c r="G496" s="7"/>
    </row>
    <row r="497" spans="1:7" ht="13.5" thickBot="1" x14ac:dyDescent="0.25">
      <c r="G497" s="7"/>
    </row>
    <row r="498" spans="1:7" ht="13.5" thickBot="1" x14ac:dyDescent="0.25">
      <c r="A498" s="53" t="s">
        <v>50</v>
      </c>
      <c r="B498" s="54" t="s">
        <v>51</v>
      </c>
      <c r="C498" s="54" t="s">
        <v>33</v>
      </c>
      <c r="D498" s="55" t="s">
        <v>118</v>
      </c>
      <c r="E498" s="55" t="s">
        <v>52</v>
      </c>
      <c r="F498" s="56" t="s">
        <v>53</v>
      </c>
      <c r="G498" s="7"/>
    </row>
    <row r="499" spans="1:7" ht="13.5" thickBot="1" x14ac:dyDescent="0.25">
      <c r="A499" s="11" t="s">
        <v>30</v>
      </c>
      <c r="B499" s="12" t="s">
        <v>1</v>
      </c>
      <c r="C499" s="105">
        <v>31.19</v>
      </c>
      <c r="D499" s="13">
        <f>+F494</f>
        <v>122408.34132572773</v>
      </c>
      <c r="E499" s="13">
        <f>C499*D499/100</f>
        <v>38179.161659494479</v>
      </c>
      <c r="G499" s="7"/>
    </row>
    <row r="500" spans="1:7" ht="13.5" thickBot="1" x14ac:dyDescent="0.25">
      <c r="F500" s="19">
        <f>+E499</f>
        <v>38179.161659494479</v>
      </c>
      <c r="G500" s="7"/>
    </row>
    <row r="501" spans="1:7" ht="13.5" thickBot="1" x14ac:dyDescent="0.25">
      <c r="G501" s="7"/>
    </row>
    <row r="502" spans="1:7" ht="13.5" thickBot="1" x14ac:dyDescent="0.25">
      <c r="A502" s="22" t="s">
        <v>122</v>
      </c>
      <c r="B502" s="26"/>
      <c r="C502" s="26"/>
      <c r="D502" s="27"/>
      <c r="E502" s="28"/>
      <c r="F502" s="20">
        <f>F500</f>
        <v>38179.161659494479</v>
      </c>
      <c r="G502" s="7"/>
    </row>
    <row r="503" spans="1:7" x14ac:dyDescent="0.2">
      <c r="A503" s="32"/>
      <c r="B503" s="32"/>
      <c r="C503" s="32"/>
      <c r="D503" s="33"/>
      <c r="E503" s="33"/>
      <c r="F503" s="31"/>
      <c r="G503" s="7"/>
    </row>
    <row r="504" spans="1:7" ht="13.5" thickBot="1" x14ac:dyDescent="0.25">
      <c r="G504" s="7"/>
    </row>
    <row r="505" spans="1:7" ht="13.5" thickBot="1" x14ac:dyDescent="0.25">
      <c r="A505" s="22" t="s">
        <v>112</v>
      </c>
      <c r="B505" s="26"/>
      <c r="C505" s="26"/>
      <c r="D505" s="27"/>
      <c r="E505" s="28"/>
      <c r="F505" s="20">
        <f>F494+F502</f>
        <v>160587.50298522221</v>
      </c>
      <c r="G505" s="7"/>
    </row>
    <row r="506" spans="1:7" ht="15.75" x14ac:dyDescent="0.2">
      <c r="A506" s="49"/>
      <c r="B506" s="49"/>
      <c r="C506" s="49"/>
      <c r="D506" s="50"/>
      <c r="E506" s="50"/>
      <c r="F506" s="50"/>
      <c r="G506" s="7"/>
    </row>
    <row r="507" spans="1:7" ht="14.25" x14ac:dyDescent="0.2">
      <c r="A507" s="6"/>
      <c r="B507" s="6"/>
      <c r="C507" s="6"/>
      <c r="D507" s="34"/>
      <c r="E507" s="34"/>
      <c r="G507" s="7"/>
    </row>
    <row r="537" spans="4:7" x14ac:dyDescent="0.2">
      <c r="D537" s="7"/>
      <c r="E537" s="7"/>
      <c r="F537" s="7"/>
      <c r="G537" s="7"/>
    </row>
  </sheetData>
  <mergeCells count="9">
    <mergeCell ref="A5:F7"/>
    <mergeCell ref="A1:F1"/>
    <mergeCell ref="A2:F2"/>
    <mergeCell ref="A64:D64"/>
    <mergeCell ref="A24:C24"/>
    <mergeCell ref="A9:F9"/>
    <mergeCell ref="A53:D53"/>
    <mergeCell ref="A11:F11"/>
    <mergeCell ref="A52:E52"/>
  </mergeCells>
  <phoneticPr fontId="10" type="noConversion"/>
  <conditionalFormatting sqref="G334:G335">
    <cfRule type="expression" dxfId="1" priority="1" stopIfTrue="1">
      <formula>AND($A334&lt;&gt;"COMPOSICAO",$A334&lt;&gt;"INSUMO",$A334&lt;&gt;"")</formula>
    </cfRule>
    <cfRule type="expression" dxfId="0" priority="2" stopIfTrue="1">
      <formula>AND(OR($A334="COMPOSICAO",$A334="INSUMO",$A334&lt;&gt;""),$A334&lt;&gt;"")</formula>
    </cfRule>
  </conditionalFormatting>
  <hyperlinks>
    <hyperlink ref="A272" location="AbaRemun" display="3.1.2. Remuneração do Capital"/>
    <hyperlink ref="A256" location="AbaDeprec" display="3.1.1. Depreciação"/>
    <hyperlink ref="A345" location="AbaRemun" display="3.1.2. Remuneração do Capital"/>
    <hyperlink ref="A329" location="AbaDeprec" display="3.1.1. Depreciação"/>
    <hyperlink ref="A413" location="AbaRemun" display="3.1.2. Remuneração do Capital"/>
    <hyperlink ref="A402" location="AbaDeprec" display="3.1.1. Depreciação"/>
  </hyperlinks>
  <pageMargins left="0.9055118110236221" right="0.51181102362204722" top="0.74803149606299213" bottom="0.74803149606299213" header="0.31496062992125984" footer="0.31496062992125984"/>
  <pageSetup paperSize="9" scale="70" fitToHeight="0" orientation="portrait" r:id="rId1"/>
  <headerFooter alignWithMargins="0">
    <oddFooter>&amp;R&amp;P de &amp;N</oddFooter>
  </headerFooter>
  <rowBreaks count="9" manualBreakCount="9">
    <brk id="51" max="5" man="1"/>
    <brk id="71" max="5" man="1"/>
    <brk id="141" max="5" man="1"/>
    <brk id="208" max="5" man="1"/>
    <brk id="251" max="5" man="1"/>
    <brk id="317" max="5" man="1"/>
    <brk id="387" max="5" man="1"/>
    <brk id="431" max="5" man="1"/>
    <brk id="464" max="5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BreakPreview" topLeftCell="B12" zoomScale="130" zoomScaleNormal="130" zoomScaleSheetLayoutView="130" workbookViewId="0">
      <selection activeCell="C22" sqref="C22"/>
    </sheetView>
  </sheetViews>
  <sheetFormatPr defaultRowHeight="12.75" x14ac:dyDescent="0.2"/>
  <cols>
    <col min="1" max="1" width="13.140625" customWidth="1"/>
    <col min="2" max="2" width="20.42578125" customWidth="1"/>
    <col min="3" max="3" width="20.28515625" bestFit="1" customWidth="1"/>
    <col min="4" max="4" width="14.5703125" customWidth="1"/>
    <col min="5" max="5" width="14.140625" customWidth="1"/>
    <col min="256" max="256" width="18.5703125" customWidth="1"/>
    <col min="257" max="257" width="20.42578125" customWidth="1"/>
    <col min="258" max="258" width="19.7109375" customWidth="1"/>
    <col min="259" max="259" width="41.85546875" customWidth="1"/>
    <col min="260" max="260" width="0.28515625" customWidth="1"/>
    <col min="261" max="261" width="0" hidden="1" customWidth="1"/>
    <col min="512" max="512" width="18.5703125" customWidth="1"/>
    <col min="513" max="513" width="20.42578125" customWidth="1"/>
    <col min="514" max="514" width="19.7109375" customWidth="1"/>
    <col min="515" max="515" width="41.85546875" customWidth="1"/>
    <col min="516" max="516" width="0.28515625" customWidth="1"/>
    <col min="517" max="517" width="0" hidden="1" customWidth="1"/>
    <col min="768" max="768" width="18.5703125" customWidth="1"/>
    <col min="769" max="769" width="20.42578125" customWidth="1"/>
    <col min="770" max="770" width="19.7109375" customWidth="1"/>
    <col min="771" max="771" width="41.85546875" customWidth="1"/>
    <col min="772" max="772" width="0.28515625" customWidth="1"/>
    <col min="773" max="773" width="0" hidden="1" customWidth="1"/>
    <col min="1024" max="1024" width="18.5703125" customWidth="1"/>
    <col min="1025" max="1025" width="20.42578125" customWidth="1"/>
    <col min="1026" max="1026" width="19.7109375" customWidth="1"/>
    <col min="1027" max="1027" width="41.85546875" customWidth="1"/>
    <col min="1028" max="1028" width="0.28515625" customWidth="1"/>
    <col min="1029" max="1029" width="0" hidden="1" customWidth="1"/>
    <col min="1280" max="1280" width="18.5703125" customWidth="1"/>
    <col min="1281" max="1281" width="20.42578125" customWidth="1"/>
    <col min="1282" max="1282" width="19.7109375" customWidth="1"/>
    <col min="1283" max="1283" width="41.85546875" customWidth="1"/>
    <col min="1284" max="1284" width="0.28515625" customWidth="1"/>
    <col min="1285" max="1285" width="0" hidden="1" customWidth="1"/>
    <col min="1536" max="1536" width="18.5703125" customWidth="1"/>
    <col min="1537" max="1537" width="20.42578125" customWidth="1"/>
    <col min="1538" max="1538" width="19.7109375" customWidth="1"/>
    <col min="1539" max="1539" width="41.85546875" customWidth="1"/>
    <col min="1540" max="1540" width="0.28515625" customWidth="1"/>
    <col min="1541" max="1541" width="0" hidden="1" customWidth="1"/>
    <col min="1792" max="1792" width="18.5703125" customWidth="1"/>
    <col min="1793" max="1793" width="20.42578125" customWidth="1"/>
    <col min="1794" max="1794" width="19.7109375" customWidth="1"/>
    <col min="1795" max="1795" width="41.85546875" customWidth="1"/>
    <col min="1796" max="1796" width="0.28515625" customWidth="1"/>
    <col min="1797" max="1797" width="0" hidden="1" customWidth="1"/>
    <col min="2048" max="2048" width="18.5703125" customWidth="1"/>
    <col min="2049" max="2049" width="20.42578125" customWidth="1"/>
    <col min="2050" max="2050" width="19.7109375" customWidth="1"/>
    <col min="2051" max="2051" width="41.85546875" customWidth="1"/>
    <col min="2052" max="2052" width="0.28515625" customWidth="1"/>
    <col min="2053" max="2053" width="0" hidden="1" customWidth="1"/>
    <col min="2304" max="2304" width="18.5703125" customWidth="1"/>
    <col min="2305" max="2305" width="20.42578125" customWidth="1"/>
    <col min="2306" max="2306" width="19.7109375" customWidth="1"/>
    <col min="2307" max="2307" width="41.85546875" customWidth="1"/>
    <col min="2308" max="2308" width="0.28515625" customWidth="1"/>
    <col min="2309" max="2309" width="0" hidden="1" customWidth="1"/>
    <col min="2560" max="2560" width="18.5703125" customWidth="1"/>
    <col min="2561" max="2561" width="20.42578125" customWidth="1"/>
    <col min="2562" max="2562" width="19.7109375" customWidth="1"/>
    <col min="2563" max="2563" width="41.85546875" customWidth="1"/>
    <col min="2564" max="2564" width="0.28515625" customWidth="1"/>
    <col min="2565" max="2565" width="0" hidden="1" customWidth="1"/>
    <col min="2816" max="2816" width="18.5703125" customWidth="1"/>
    <col min="2817" max="2817" width="20.42578125" customWidth="1"/>
    <col min="2818" max="2818" width="19.7109375" customWidth="1"/>
    <col min="2819" max="2819" width="41.85546875" customWidth="1"/>
    <col min="2820" max="2820" width="0.28515625" customWidth="1"/>
    <col min="2821" max="2821" width="0" hidden="1" customWidth="1"/>
    <col min="3072" max="3072" width="18.5703125" customWidth="1"/>
    <col min="3073" max="3073" width="20.42578125" customWidth="1"/>
    <col min="3074" max="3074" width="19.7109375" customWidth="1"/>
    <col min="3075" max="3075" width="41.85546875" customWidth="1"/>
    <col min="3076" max="3076" width="0.28515625" customWidth="1"/>
    <col min="3077" max="3077" width="0" hidden="1" customWidth="1"/>
    <col min="3328" max="3328" width="18.5703125" customWidth="1"/>
    <col min="3329" max="3329" width="20.42578125" customWidth="1"/>
    <col min="3330" max="3330" width="19.7109375" customWidth="1"/>
    <col min="3331" max="3331" width="41.85546875" customWidth="1"/>
    <col min="3332" max="3332" width="0.28515625" customWidth="1"/>
    <col min="3333" max="3333" width="0" hidden="1" customWidth="1"/>
    <col min="3584" max="3584" width="18.5703125" customWidth="1"/>
    <col min="3585" max="3585" width="20.42578125" customWidth="1"/>
    <col min="3586" max="3586" width="19.7109375" customWidth="1"/>
    <col min="3587" max="3587" width="41.85546875" customWidth="1"/>
    <col min="3588" max="3588" width="0.28515625" customWidth="1"/>
    <col min="3589" max="3589" width="0" hidden="1" customWidth="1"/>
    <col min="3840" max="3840" width="18.5703125" customWidth="1"/>
    <col min="3841" max="3841" width="20.42578125" customWidth="1"/>
    <col min="3842" max="3842" width="19.7109375" customWidth="1"/>
    <col min="3843" max="3843" width="41.85546875" customWidth="1"/>
    <col min="3844" max="3844" width="0.28515625" customWidth="1"/>
    <col min="3845" max="3845" width="0" hidden="1" customWidth="1"/>
    <col min="4096" max="4096" width="18.5703125" customWidth="1"/>
    <col min="4097" max="4097" width="20.42578125" customWidth="1"/>
    <col min="4098" max="4098" width="19.7109375" customWidth="1"/>
    <col min="4099" max="4099" width="41.85546875" customWidth="1"/>
    <col min="4100" max="4100" width="0.28515625" customWidth="1"/>
    <col min="4101" max="4101" width="0" hidden="1" customWidth="1"/>
    <col min="4352" max="4352" width="18.5703125" customWidth="1"/>
    <col min="4353" max="4353" width="20.42578125" customWidth="1"/>
    <col min="4354" max="4354" width="19.7109375" customWidth="1"/>
    <col min="4355" max="4355" width="41.85546875" customWidth="1"/>
    <col min="4356" max="4356" width="0.28515625" customWidth="1"/>
    <col min="4357" max="4357" width="0" hidden="1" customWidth="1"/>
    <col min="4608" max="4608" width="18.5703125" customWidth="1"/>
    <col min="4609" max="4609" width="20.42578125" customWidth="1"/>
    <col min="4610" max="4610" width="19.7109375" customWidth="1"/>
    <col min="4611" max="4611" width="41.85546875" customWidth="1"/>
    <col min="4612" max="4612" width="0.28515625" customWidth="1"/>
    <col min="4613" max="4613" width="0" hidden="1" customWidth="1"/>
    <col min="4864" max="4864" width="18.5703125" customWidth="1"/>
    <col min="4865" max="4865" width="20.42578125" customWidth="1"/>
    <col min="4866" max="4866" width="19.7109375" customWidth="1"/>
    <col min="4867" max="4867" width="41.85546875" customWidth="1"/>
    <col min="4868" max="4868" width="0.28515625" customWidth="1"/>
    <col min="4869" max="4869" width="0" hidden="1" customWidth="1"/>
    <col min="5120" max="5120" width="18.5703125" customWidth="1"/>
    <col min="5121" max="5121" width="20.42578125" customWidth="1"/>
    <col min="5122" max="5122" width="19.7109375" customWidth="1"/>
    <col min="5123" max="5123" width="41.85546875" customWidth="1"/>
    <col min="5124" max="5124" width="0.28515625" customWidth="1"/>
    <col min="5125" max="5125" width="0" hidden="1" customWidth="1"/>
    <col min="5376" max="5376" width="18.5703125" customWidth="1"/>
    <col min="5377" max="5377" width="20.42578125" customWidth="1"/>
    <col min="5378" max="5378" width="19.7109375" customWidth="1"/>
    <col min="5379" max="5379" width="41.85546875" customWidth="1"/>
    <col min="5380" max="5380" width="0.28515625" customWidth="1"/>
    <col min="5381" max="5381" width="0" hidden="1" customWidth="1"/>
    <col min="5632" max="5632" width="18.5703125" customWidth="1"/>
    <col min="5633" max="5633" width="20.42578125" customWidth="1"/>
    <col min="5634" max="5634" width="19.7109375" customWidth="1"/>
    <col min="5635" max="5635" width="41.85546875" customWidth="1"/>
    <col min="5636" max="5636" width="0.28515625" customWidth="1"/>
    <col min="5637" max="5637" width="0" hidden="1" customWidth="1"/>
    <col min="5888" max="5888" width="18.5703125" customWidth="1"/>
    <col min="5889" max="5889" width="20.42578125" customWidth="1"/>
    <col min="5890" max="5890" width="19.7109375" customWidth="1"/>
    <col min="5891" max="5891" width="41.85546875" customWidth="1"/>
    <col min="5892" max="5892" width="0.28515625" customWidth="1"/>
    <col min="5893" max="5893" width="0" hidden="1" customWidth="1"/>
    <col min="6144" max="6144" width="18.5703125" customWidth="1"/>
    <col min="6145" max="6145" width="20.42578125" customWidth="1"/>
    <col min="6146" max="6146" width="19.7109375" customWidth="1"/>
    <col min="6147" max="6147" width="41.85546875" customWidth="1"/>
    <col min="6148" max="6148" width="0.28515625" customWidth="1"/>
    <col min="6149" max="6149" width="0" hidden="1" customWidth="1"/>
    <col min="6400" max="6400" width="18.5703125" customWidth="1"/>
    <col min="6401" max="6401" width="20.42578125" customWidth="1"/>
    <col min="6402" max="6402" width="19.7109375" customWidth="1"/>
    <col min="6403" max="6403" width="41.85546875" customWidth="1"/>
    <col min="6404" max="6404" width="0.28515625" customWidth="1"/>
    <col min="6405" max="6405" width="0" hidden="1" customWidth="1"/>
    <col min="6656" max="6656" width="18.5703125" customWidth="1"/>
    <col min="6657" max="6657" width="20.42578125" customWidth="1"/>
    <col min="6658" max="6658" width="19.7109375" customWidth="1"/>
    <col min="6659" max="6659" width="41.85546875" customWidth="1"/>
    <col min="6660" max="6660" width="0.28515625" customWidth="1"/>
    <col min="6661" max="6661" width="0" hidden="1" customWidth="1"/>
    <col min="6912" max="6912" width="18.5703125" customWidth="1"/>
    <col min="6913" max="6913" width="20.42578125" customWidth="1"/>
    <col min="6914" max="6914" width="19.7109375" customWidth="1"/>
    <col min="6915" max="6915" width="41.85546875" customWidth="1"/>
    <col min="6916" max="6916" width="0.28515625" customWidth="1"/>
    <col min="6917" max="6917" width="0" hidden="1" customWidth="1"/>
    <col min="7168" max="7168" width="18.5703125" customWidth="1"/>
    <col min="7169" max="7169" width="20.42578125" customWidth="1"/>
    <col min="7170" max="7170" width="19.7109375" customWidth="1"/>
    <col min="7171" max="7171" width="41.85546875" customWidth="1"/>
    <col min="7172" max="7172" width="0.28515625" customWidth="1"/>
    <col min="7173" max="7173" width="0" hidden="1" customWidth="1"/>
    <col min="7424" max="7424" width="18.5703125" customWidth="1"/>
    <col min="7425" max="7425" width="20.42578125" customWidth="1"/>
    <col min="7426" max="7426" width="19.7109375" customWidth="1"/>
    <col min="7427" max="7427" width="41.85546875" customWidth="1"/>
    <col min="7428" max="7428" width="0.28515625" customWidth="1"/>
    <col min="7429" max="7429" width="0" hidden="1" customWidth="1"/>
    <col min="7680" max="7680" width="18.5703125" customWidth="1"/>
    <col min="7681" max="7681" width="20.42578125" customWidth="1"/>
    <col min="7682" max="7682" width="19.7109375" customWidth="1"/>
    <col min="7683" max="7683" width="41.85546875" customWidth="1"/>
    <col min="7684" max="7684" width="0.28515625" customWidth="1"/>
    <col min="7685" max="7685" width="0" hidden="1" customWidth="1"/>
    <col min="7936" max="7936" width="18.5703125" customWidth="1"/>
    <col min="7937" max="7937" width="20.42578125" customWidth="1"/>
    <col min="7938" max="7938" width="19.7109375" customWidth="1"/>
    <col min="7939" max="7939" width="41.85546875" customWidth="1"/>
    <col min="7940" max="7940" width="0.28515625" customWidth="1"/>
    <col min="7941" max="7941" width="0" hidden="1" customWidth="1"/>
    <col min="8192" max="8192" width="18.5703125" customWidth="1"/>
    <col min="8193" max="8193" width="20.42578125" customWidth="1"/>
    <col min="8194" max="8194" width="19.7109375" customWidth="1"/>
    <col min="8195" max="8195" width="41.85546875" customWidth="1"/>
    <col min="8196" max="8196" width="0.28515625" customWidth="1"/>
    <col min="8197" max="8197" width="0" hidden="1" customWidth="1"/>
    <col min="8448" max="8448" width="18.5703125" customWidth="1"/>
    <col min="8449" max="8449" width="20.42578125" customWidth="1"/>
    <col min="8450" max="8450" width="19.7109375" customWidth="1"/>
    <col min="8451" max="8451" width="41.85546875" customWidth="1"/>
    <col min="8452" max="8452" width="0.28515625" customWidth="1"/>
    <col min="8453" max="8453" width="0" hidden="1" customWidth="1"/>
    <col min="8704" max="8704" width="18.5703125" customWidth="1"/>
    <col min="8705" max="8705" width="20.42578125" customWidth="1"/>
    <col min="8706" max="8706" width="19.7109375" customWidth="1"/>
    <col min="8707" max="8707" width="41.85546875" customWidth="1"/>
    <col min="8708" max="8708" width="0.28515625" customWidth="1"/>
    <col min="8709" max="8709" width="0" hidden="1" customWidth="1"/>
    <col min="8960" max="8960" width="18.5703125" customWidth="1"/>
    <col min="8961" max="8961" width="20.42578125" customWidth="1"/>
    <col min="8962" max="8962" width="19.7109375" customWidth="1"/>
    <col min="8963" max="8963" width="41.85546875" customWidth="1"/>
    <col min="8964" max="8964" width="0.28515625" customWidth="1"/>
    <col min="8965" max="8965" width="0" hidden="1" customWidth="1"/>
    <col min="9216" max="9216" width="18.5703125" customWidth="1"/>
    <col min="9217" max="9217" width="20.42578125" customWidth="1"/>
    <col min="9218" max="9218" width="19.7109375" customWidth="1"/>
    <col min="9219" max="9219" width="41.85546875" customWidth="1"/>
    <col min="9220" max="9220" width="0.28515625" customWidth="1"/>
    <col min="9221" max="9221" width="0" hidden="1" customWidth="1"/>
    <col min="9472" max="9472" width="18.5703125" customWidth="1"/>
    <col min="9473" max="9473" width="20.42578125" customWidth="1"/>
    <col min="9474" max="9474" width="19.7109375" customWidth="1"/>
    <col min="9475" max="9475" width="41.85546875" customWidth="1"/>
    <col min="9476" max="9476" width="0.28515625" customWidth="1"/>
    <col min="9477" max="9477" width="0" hidden="1" customWidth="1"/>
    <col min="9728" max="9728" width="18.5703125" customWidth="1"/>
    <col min="9729" max="9729" width="20.42578125" customWidth="1"/>
    <col min="9730" max="9730" width="19.7109375" customWidth="1"/>
    <col min="9731" max="9731" width="41.85546875" customWidth="1"/>
    <col min="9732" max="9732" width="0.28515625" customWidth="1"/>
    <col min="9733" max="9733" width="0" hidden="1" customWidth="1"/>
    <col min="9984" max="9984" width="18.5703125" customWidth="1"/>
    <col min="9985" max="9985" width="20.42578125" customWidth="1"/>
    <col min="9986" max="9986" width="19.7109375" customWidth="1"/>
    <col min="9987" max="9987" width="41.85546875" customWidth="1"/>
    <col min="9988" max="9988" width="0.28515625" customWidth="1"/>
    <col min="9989" max="9989" width="0" hidden="1" customWidth="1"/>
    <col min="10240" max="10240" width="18.5703125" customWidth="1"/>
    <col min="10241" max="10241" width="20.42578125" customWidth="1"/>
    <col min="10242" max="10242" width="19.7109375" customWidth="1"/>
    <col min="10243" max="10243" width="41.85546875" customWidth="1"/>
    <col min="10244" max="10244" width="0.28515625" customWidth="1"/>
    <col min="10245" max="10245" width="0" hidden="1" customWidth="1"/>
    <col min="10496" max="10496" width="18.5703125" customWidth="1"/>
    <col min="10497" max="10497" width="20.42578125" customWidth="1"/>
    <col min="10498" max="10498" width="19.7109375" customWidth="1"/>
    <col min="10499" max="10499" width="41.85546875" customWidth="1"/>
    <col min="10500" max="10500" width="0.28515625" customWidth="1"/>
    <col min="10501" max="10501" width="0" hidden="1" customWidth="1"/>
    <col min="10752" max="10752" width="18.5703125" customWidth="1"/>
    <col min="10753" max="10753" width="20.42578125" customWidth="1"/>
    <col min="10754" max="10754" width="19.7109375" customWidth="1"/>
    <col min="10755" max="10755" width="41.85546875" customWidth="1"/>
    <col min="10756" max="10756" width="0.28515625" customWidth="1"/>
    <col min="10757" max="10757" width="0" hidden="1" customWidth="1"/>
    <col min="11008" max="11008" width="18.5703125" customWidth="1"/>
    <col min="11009" max="11009" width="20.42578125" customWidth="1"/>
    <col min="11010" max="11010" width="19.7109375" customWidth="1"/>
    <col min="11011" max="11011" width="41.85546875" customWidth="1"/>
    <col min="11012" max="11012" width="0.28515625" customWidth="1"/>
    <col min="11013" max="11013" width="0" hidden="1" customWidth="1"/>
    <col min="11264" max="11264" width="18.5703125" customWidth="1"/>
    <col min="11265" max="11265" width="20.42578125" customWidth="1"/>
    <col min="11266" max="11266" width="19.7109375" customWidth="1"/>
    <col min="11267" max="11267" width="41.85546875" customWidth="1"/>
    <col min="11268" max="11268" width="0.28515625" customWidth="1"/>
    <col min="11269" max="11269" width="0" hidden="1" customWidth="1"/>
    <col min="11520" max="11520" width="18.5703125" customWidth="1"/>
    <col min="11521" max="11521" width="20.42578125" customWidth="1"/>
    <col min="11522" max="11522" width="19.7109375" customWidth="1"/>
    <col min="11523" max="11523" width="41.85546875" customWidth="1"/>
    <col min="11524" max="11524" width="0.28515625" customWidth="1"/>
    <col min="11525" max="11525" width="0" hidden="1" customWidth="1"/>
    <col min="11776" max="11776" width="18.5703125" customWidth="1"/>
    <col min="11777" max="11777" width="20.42578125" customWidth="1"/>
    <col min="11778" max="11778" width="19.7109375" customWidth="1"/>
    <col min="11779" max="11779" width="41.85546875" customWidth="1"/>
    <col min="11780" max="11780" width="0.28515625" customWidth="1"/>
    <col min="11781" max="11781" width="0" hidden="1" customWidth="1"/>
    <col min="12032" max="12032" width="18.5703125" customWidth="1"/>
    <col min="12033" max="12033" width="20.42578125" customWidth="1"/>
    <col min="12034" max="12034" width="19.7109375" customWidth="1"/>
    <col min="12035" max="12035" width="41.85546875" customWidth="1"/>
    <col min="12036" max="12036" width="0.28515625" customWidth="1"/>
    <col min="12037" max="12037" width="0" hidden="1" customWidth="1"/>
    <col min="12288" max="12288" width="18.5703125" customWidth="1"/>
    <col min="12289" max="12289" width="20.42578125" customWidth="1"/>
    <col min="12290" max="12290" width="19.7109375" customWidth="1"/>
    <col min="12291" max="12291" width="41.85546875" customWidth="1"/>
    <col min="12292" max="12292" width="0.28515625" customWidth="1"/>
    <col min="12293" max="12293" width="0" hidden="1" customWidth="1"/>
    <col min="12544" max="12544" width="18.5703125" customWidth="1"/>
    <col min="12545" max="12545" width="20.42578125" customWidth="1"/>
    <col min="12546" max="12546" width="19.7109375" customWidth="1"/>
    <col min="12547" max="12547" width="41.85546875" customWidth="1"/>
    <col min="12548" max="12548" width="0.28515625" customWidth="1"/>
    <col min="12549" max="12549" width="0" hidden="1" customWidth="1"/>
    <col min="12800" max="12800" width="18.5703125" customWidth="1"/>
    <col min="12801" max="12801" width="20.42578125" customWidth="1"/>
    <col min="12802" max="12802" width="19.7109375" customWidth="1"/>
    <col min="12803" max="12803" width="41.85546875" customWidth="1"/>
    <col min="12804" max="12804" width="0.28515625" customWidth="1"/>
    <col min="12805" max="12805" width="0" hidden="1" customWidth="1"/>
    <col min="13056" max="13056" width="18.5703125" customWidth="1"/>
    <col min="13057" max="13057" width="20.42578125" customWidth="1"/>
    <col min="13058" max="13058" width="19.7109375" customWidth="1"/>
    <col min="13059" max="13059" width="41.85546875" customWidth="1"/>
    <col min="13060" max="13060" width="0.28515625" customWidth="1"/>
    <col min="13061" max="13061" width="0" hidden="1" customWidth="1"/>
    <col min="13312" max="13312" width="18.5703125" customWidth="1"/>
    <col min="13313" max="13313" width="20.42578125" customWidth="1"/>
    <col min="13314" max="13314" width="19.7109375" customWidth="1"/>
    <col min="13315" max="13315" width="41.85546875" customWidth="1"/>
    <col min="13316" max="13316" width="0.28515625" customWidth="1"/>
    <col min="13317" max="13317" width="0" hidden="1" customWidth="1"/>
    <col min="13568" max="13568" width="18.5703125" customWidth="1"/>
    <col min="13569" max="13569" width="20.42578125" customWidth="1"/>
    <col min="13570" max="13570" width="19.7109375" customWidth="1"/>
    <col min="13571" max="13571" width="41.85546875" customWidth="1"/>
    <col min="13572" max="13572" width="0.28515625" customWidth="1"/>
    <col min="13573" max="13573" width="0" hidden="1" customWidth="1"/>
    <col min="13824" max="13824" width="18.5703125" customWidth="1"/>
    <col min="13825" max="13825" width="20.42578125" customWidth="1"/>
    <col min="13826" max="13826" width="19.7109375" customWidth="1"/>
    <col min="13827" max="13827" width="41.85546875" customWidth="1"/>
    <col min="13828" max="13828" width="0.28515625" customWidth="1"/>
    <col min="13829" max="13829" width="0" hidden="1" customWidth="1"/>
    <col min="14080" max="14080" width="18.5703125" customWidth="1"/>
    <col min="14081" max="14081" width="20.42578125" customWidth="1"/>
    <col min="14082" max="14082" width="19.7109375" customWidth="1"/>
    <col min="14083" max="14083" width="41.85546875" customWidth="1"/>
    <col min="14084" max="14084" width="0.28515625" customWidth="1"/>
    <col min="14085" max="14085" width="0" hidden="1" customWidth="1"/>
    <col min="14336" max="14336" width="18.5703125" customWidth="1"/>
    <col min="14337" max="14337" width="20.42578125" customWidth="1"/>
    <col min="14338" max="14338" width="19.7109375" customWidth="1"/>
    <col min="14339" max="14339" width="41.85546875" customWidth="1"/>
    <col min="14340" max="14340" width="0.28515625" customWidth="1"/>
    <col min="14341" max="14341" width="0" hidden="1" customWidth="1"/>
    <col min="14592" max="14592" width="18.5703125" customWidth="1"/>
    <col min="14593" max="14593" width="20.42578125" customWidth="1"/>
    <col min="14594" max="14594" width="19.7109375" customWidth="1"/>
    <col min="14595" max="14595" width="41.85546875" customWidth="1"/>
    <col min="14596" max="14596" width="0.28515625" customWidth="1"/>
    <col min="14597" max="14597" width="0" hidden="1" customWidth="1"/>
    <col min="14848" max="14848" width="18.5703125" customWidth="1"/>
    <col min="14849" max="14849" width="20.42578125" customWidth="1"/>
    <col min="14850" max="14850" width="19.7109375" customWidth="1"/>
    <col min="14851" max="14851" width="41.85546875" customWidth="1"/>
    <col min="14852" max="14852" width="0.28515625" customWidth="1"/>
    <col min="14853" max="14853" width="0" hidden="1" customWidth="1"/>
    <col min="15104" max="15104" width="18.5703125" customWidth="1"/>
    <col min="15105" max="15105" width="20.42578125" customWidth="1"/>
    <col min="15106" max="15106" width="19.7109375" customWidth="1"/>
    <col min="15107" max="15107" width="41.85546875" customWidth="1"/>
    <col min="15108" max="15108" width="0.28515625" customWidth="1"/>
    <col min="15109" max="15109" width="0" hidden="1" customWidth="1"/>
    <col min="15360" max="15360" width="18.5703125" customWidth="1"/>
    <col min="15361" max="15361" width="20.42578125" customWidth="1"/>
    <col min="15362" max="15362" width="19.7109375" customWidth="1"/>
    <col min="15363" max="15363" width="41.85546875" customWidth="1"/>
    <col min="15364" max="15364" width="0.28515625" customWidth="1"/>
    <col min="15365" max="15365" width="0" hidden="1" customWidth="1"/>
    <col min="15616" max="15616" width="18.5703125" customWidth="1"/>
    <col min="15617" max="15617" width="20.42578125" customWidth="1"/>
    <col min="15618" max="15618" width="19.7109375" customWidth="1"/>
    <col min="15619" max="15619" width="41.85546875" customWidth="1"/>
    <col min="15620" max="15620" width="0.28515625" customWidth="1"/>
    <col min="15621" max="15621" width="0" hidden="1" customWidth="1"/>
    <col min="15872" max="15872" width="18.5703125" customWidth="1"/>
    <col min="15873" max="15873" width="20.42578125" customWidth="1"/>
    <col min="15874" max="15874" width="19.7109375" customWidth="1"/>
    <col min="15875" max="15875" width="41.85546875" customWidth="1"/>
    <col min="15876" max="15876" width="0.28515625" customWidth="1"/>
    <col min="15877" max="15877" width="0" hidden="1" customWidth="1"/>
    <col min="16128" max="16128" width="18.5703125" customWidth="1"/>
    <col min="16129" max="16129" width="20.42578125" customWidth="1"/>
    <col min="16130" max="16130" width="19.7109375" customWidth="1"/>
    <col min="16131" max="16131" width="41.85546875" customWidth="1"/>
    <col min="16132" max="16132" width="0.28515625" customWidth="1"/>
    <col min="16133" max="16133" width="0" hidden="1" customWidth="1"/>
  </cols>
  <sheetData>
    <row r="1" spans="1:5" ht="23.25" x14ac:dyDescent="0.35">
      <c r="A1" s="267" t="s">
        <v>211</v>
      </c>
      <c r="B1" s="267"/>
      <c r="C1" s="267"/>
      <c r="D1" s="267"/>
      <c r="E1" s="267"/>
    </row>
    <row r="2" spans="1:5" ht="23.25" x14ac:dyDescent="0.35">
      <c r="A2" s="268" t="s">
        <v>275</v>
      </c>
      <c r="B2" s="268"/>
      <c r="C2" s="268"/>
      <c r="D2" s="268"/>
      <c r="E2" s="268"/>
    </row>
    <row r="3" spans="1:5" ht="79.5" customHeight="1" x14ac:dyDescent="0.2">
      <c r="A3" s="283" t="s">
        <v>214</v>
      </c>
      <c r="B3" s="283"/>
      <c r="C3" s="283"/>
      <c r="D3" s="283"/>
      <c r="E3" s="283"/>
    </row>
    <row r="4" spans="1:5" ht="23.25" x14ac:dyDescent="0.35">
      <c r="A4" s="284" t="s">
        <v>276</v>
      </c>
      <c r="B4" s="284"/>
      <c r="C4" s="284"/>
      <c r="D4" s="284"/>
      <c r="E4" s="284"/>
    </row>
    <row r="5" spans="1:5" ht="20.25" x14ac:dyDescent="0.2">
      <c r="A5" s="285"/>
      <c r="B5" s="285"/>
      <c r="C5" s="285"/>
      <c r="D5" s="285"/>
      <c r="E5" s="285"/>
    </row>
    <row r="6" spans="1:5" x14ac:dyDescent="0.2">
      <c r="A6" s="286"/>
      <c r="B6" s="287"/>
      <c r="C6" s="287"/>
      <c r="D6" s="287"/>
      <c r="E6" s="288"/>
    </row>
    <row r="7" spans="1:5" x14ac:dyDescent="0.2">
      <c r="A7" s="280"/>
      <c r="B7" s="281"/>
      <c r="C7" s="281"/>
      <c r="D7" s="281"/>
      <c r="E7" s="282"/>
    </row>
    <row r="8" spans="1:5" ht="24" customHeight="1" x14ac:dyDescent="0.2">
      <c r="A8" s="241"/>
      <c r="B8" s="242" t="s">
        <v>277</v>
      </c>
      <c r="C8" s="243" t="s">
        <v>278</v>
      </c>
      <c r="D8" s="243" t="s">
        <v>279</v>
      </c>
      <c r="E8" s="244"/>
    </row>
    <row r="9" spans="1:5" ht="21.75" customHeight="1" x14ac:dyDescent="0.2">
      <c r="A9" s="241"/>
      <c r="B9" s="245">
        <v>1</v>
      </c>
      <c r="C9" s="246">
        <f>'1.1 ORÇ. EQUIPE ELÉTRICA'!E49</f>
        <v>160587.5</v>
      </c>
      <c r="D9" s="247">
        <f>1/12</f>
        <v>8.3333333333333329E-2</v>
      </c>
      <c r="E9" s="248"/>
    </row>
    <row r="10" spans="1:5" ht="23.25" customHeight="1" x14ac:dyDescent="0.2">
      <c r="A10" s="241"/>
      <c r="B10" s="245">
        <v>2</v>
      </c>
      <c r="C10" s="246">
        <f>C9</f>
        <v>160587.5</v>
      </c>
      <c r="D10" s="247">
        <f t="shared" ref="D10:D20" si="0">1/12</f>
        <v>8.3333333333333329E-2</v>
      </c>
      <c r="E10" s="249"/>
    </row>
    <row r="11" spans="1:5" ht="23.25" customHeight="1" x14ac:dyDescent="0.2">
      <c r="A11" s="250"/>
      <c r="B11" s="245">
        <v>3</v>
      </c>
      <c r="C11" s="246">
        <f t="shared" ref="C11:C20" si="1">C10</f>
        <v>160587.5</v>
      </c>
      <c r="D11" s="247">
        <f t="shared" si="0"/>
        <v>8.3333333333333329E-2</v>
      </c>
    </row>
    <row r="12" spans="1:5" ht="23.25" customHeight="1" x14ac:dyDescent="0.2">
      <c r="A12" s="250"/>
      <c r="B12" s="245">
        <v>4</v>
      </c>
      <c r="C12" s="246">
        <f t="shared" si="1"/>
        <v>160587.5</v>
      </c>
      <c r="D12" s="247">
        <f t="shared" si="0"/>
        <v>8.3333333333333329E-2</v>
      </c>
    </row>
    <row r="13" spans="1:5" ht="24" customHeight="1" x14ac:dyDescent="0.2">
      <c r="A13" s="250"/>
      <c r="B13" s="245">
        <v>5</v>
      </c>
      <c r="C13" s="246">
        <f t="shared" si="1"/>
        <v>160587.5</v>
      </c>
      <c r="D13" s="247">
        <f t="shared" si="0"/>
        <v>8.3333333333333329E-2</v>
      </c>
    </row>
    <row r="14" spans="1:5" ht="24" customHeight="1" x14ac:dyDescent="0.2">
      <c r="A14" s="250"/>
      <c r="B14" s="245">
        <v>6</v>
      </c>
      <c r="C14" s="246">
        <f t="shared" si="1"/>
        <v>160587.5</v>
      </c>
      <c r="D14" s="247">
        <f t="shared" si="0"/>
        <v>8.3333333333333329E-2</v>
      </c>
    </row>
    <row r="15" spans="1:5" ht="24" customHeight="1" x14ac:dyDescent="0.2">
      <c r="A15" s="250"/>
      <c r="B15" s="245">
        <v>7</v>
      </c>
      <c r="C15" s="246">
        <f t="shared" si="1"/>
        <v>160587.5</v>
      </c>
      <c r="D15" s="247">
        <f t="shared" si="0"/>
        <v>8.3333333333333329E-2</v>
      </c>
    </row>
    <row r="16" spans="1:5" ht="23.25" customHeight="1" x14ac:dyDescent="0.2">
      <c r="A16" s="250"/>
      <c r="B16" s="245">
        <v>8</v>
      </c>
      <c r="C16" s="246">
        <f t="shared" si="1"/>
        <v>160587.5</v>
      </c>
      <c r="D16" s="247">
        <f t="shared" si="0"/>
        <v>8.3333333333333329E-2</v>
      </c>
    </row>
    <row r="17" spans="1:4" ht="24" customHeight="1" x14ac:dyDescent="0.2">
      <c r="A17" s="250"/>
      <c r="B17" s="245">
        <v>9</v>
      </c>
      <c r="C17" s="246">
        <f t="shared" si="1"/>
        <v>160587.5</v>
      </c>
      <c r="D17" s="247">
        <f t="shared" si="0"/>
        <v>8.3333333333333329E-2</v>
      </c>
    </row>
    <row r="18" spans="1:4" ht="24.75" customHeight="1" x14ac:dyDescent="0.2">
      <c r="A18" s="250"/>
      <c r="B18" s="245">
        <v>10</v>
      </c>
      <c r="C18" s="246">
        <f t="shared" si="1"/>
        <v>160587.5</v>
      </c>
      <c r="D18" s="247">
        <f t="shared" si="0"/>
        <v>8.3333333333333329E-2</v>
      </c>
    </row>
    <row r="19" spans="1:4" ht="23.25" customHeight="1" x14ac:dyDescent="0.2">
      <c r="A19" s="250"/>
      <c r="B19" s="245">
        <v>11</v>
      </c>
      <c r="C19" s="246">
        <f t="shared" si="1"/>
        <v>160587.5</v>
      </c>
      <c r="D19" s="247">
        <f t="shared" si="0"/>
        <v>8.3333333333333329E-2</v>
      </c>
    </row>
    <row r="20" spans="1:4" ht="23.25" customHeight="1" x14ac:dyDescent="0.2">
      <c r="A20" s="250"/>
      <c r="B20" s="245">
        <v>12</v>
      </c>
      <c r="C20" s="246">
        <f t="shared" si="1"/>
        <v>160587.5</v>
      </c>
      <c r="D20" s="247">
        <f t="shared" si="0"/>
        <v>8.3333333333333329E-2</v>
      </c>
    </row>
    <row r="21" spans="1:4" ht="24" customHeight="1" x14ac:dyDescent="0.2">
      <c r="A21" s="250"/>
      <c r="B21" s="251" t="s">
        <v>280</v>
      </c>
      <c r="C21" s="252">
        <f>ROUND((SUM(C9:C20)),2)</f>
        <v>1927050</v>
      </c>
      <c r="D21" s="253">
        <f>SUM(D9:D20)</f>
        <v>1</v>
      </c>
    </row>
  </sheetData>
  <mergeCells count="7">
    <mergeCell ref="A7:E7"/>
    <mergeCell ref="A1:E1"/>
    <mergeCell ref="A2:E2"/>
    <mergeCell ref="A3:E3"/>
    <mergeCell ref="A4:E4"/>
    <mergeCell ref="A5:E5"/>
    <mergeCell ref="A6:E6"/>
  </mergeCells>
  <printOptions horizontalCentered="1"/>
  <pageMargins left="0.59055118110236227" right="0.59055118110236227" top="0.98425196850393704" bottom="0.98425196850393704" header="0.51181102362204722" footer="0.51181102362204722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view="pageBreakPreview" zoomScaleNormal="100" zoomScaleSheetLayoutView="100" workbookViewId="0">
      <selection activeCell="H23" sqref="H23"/>
    </sheetView>
  </sheetViews>
  <sheetFormatPr defaultRowHeight="12.75" x14ac:dyDescent="0.2"/>
  <cols>
    <col min="2" max="2" width="15.85546875" customWidth="1"/>
    <col min="3" max="3" width="10" customWidth="1"/>
    <col min="4" max="4" width="9" bestFit="1" customWidth="1"/>
    <col min="5" max="5" width="8.7109375" bestFit="1" customWidth="1"/>
    <col min="6" max="6" width="11.5703125" bestFit="1" customWidth="1"/>
    <col min="7" max="7" width="15.5703125" bestFit="1" customWidth="1"/>
    <col min="8" max="8" width="14.28515625" bestFit="1" customWidth="1"/>
    <col min="9" max="9" width="13.42578125" bestFit="1" customWidth="1"/>
    <col min="10" max="10" width="7.42578125" bestFit="1" customWidth="1"/>
    <col min="11" max="11" width="8.140625" bestFit="1" customWidth="1"/>
    <col min="12" max="12" width="12.42578125" bestFit="1" customWidth="1"/>
    <col min="13" max="13" width="13.5703125" bestFit="1" customWidth="1"/>
    <col min="14" max="14" width="13.42578125" bestFit="1" customWidth="1"/>
    <col min="15" max="15" width="14.140625" bestFit="1" customWidth="1"/>
    <col min="16" max="16" width="15.140625" bestFit="1" customWidth="1"/>
  </cols>
  <sheetData>
    <row r="1" spans="1:16" ht="23.25" x14ac:dyDescent="0.35">
      <c r="A1" s="290" t="s">
        <v>211</v>
      </c>
      <c r="B1" s="291"/>
      <c r="C1" s="291"/>
      <c r="D1" s="291"/>
      <c r="E1" s="291"/>
      <c r="F1" s="291"/>
      <c r="G1" s="291"/>
      <c r="H1" s="291"/>
      <c r="I1" s="291"/>
      <c r="J1" s="291"/>
      <c r="K1" s="291"/>
      <c r="L1" s="291"/>
      <c r="M1" s="291"/>
      <c r="N1" s="291"/>
      <c r="O1" s="291"/>
      <c r="P1" s="291"/>
    </row>
    <row r="2" spans="1:16" ht="23.25" x14ac:dyDescent="0.35">
      <c r="A2" s="292" t="s">
        <v>275</v>
      </c>
      <c r="B2" s="293"/>
      <c r="C2" s="293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</row>
    <row r="3" spans="1:16" ht="48" customHeight="1" x14ac:dyDescent="0.2">
      <c r="A3" s="294" t="s">
        <v>214</v>
      </c>
      <c r="B3" s="295"/>
      <c r="C3" s="295"/>
      <c r="D3" s="295"/>
      <c r="E3" s="295"/>
      <c r="F3" s="295"/>
      <c r="G3" s="295"/>
      <c r="H3" s="295"/>
      <c r="I3" s="295"/>
      <c r="J3" s="295"/>
      <c r="K3" s="295"/>
      <c r="L3" s="295"/>
      <c r="M3" s="295"/>
      <c r="N3" s="295"/>
      <c r="O3" s="295"/>
      <c r="P3" s="295"/>
    </row>
    <row r="5" spans="1:16" x14ac:dyDescent="0.2">
      <c r="A5" s="289" t="s">
        <v>288</v>
      </c>
      <c r="B5" s="289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</row>
    <row r="6" spans="1:16" x14ac:dyDescent="0.2">
      <c r="A6" s="255"/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255"/>
      <c r="N6" s="255"/>
      <c r="O6" s="255"/>
      <c r="P6" s="255"/>
    </row>
    <row r="7" spans="1:16" x14ac:dyDescent="0.2">
      <c r="A7" s="255"/>
      <c r="B7" s="255"/>
      <c r="C7" s="255"/>
      <c r="D7" s="256" t="s">
        <v>241</v>
      </c>
      <c r="E7" s="256" t="s">
        <v>242</v>
      </c>
      <c r="F7" s="256" t="s">
        <v>243</v>
      </c>
      <c r="G7" s="256" t="s">
        <v>244</v>
      </c>
      <c r="H7" s="256" t="s">
        <v>245</v>
      </c>
      <c r="I7" s="256" t="s">
        <v>246</v>
      </c>
      <c r="J7" s="256" t="s">
        <v>247</v>
      </c>
      <c r="K7" s="256" t="s">
        <v>248</v>
      </c>
      <c r="L7" s="256" t="s">
        <v>250</v>
      </c>
      <c r="M7" s="256" t="s">
        <v>251</v>
      </c>
      <c r="N7" s="256" t="s">
        <v>249</v>
      </c>
      <c r="O7" s="256" t="s">
        <v>252</v>
      </c>
      <c r="P7" s="256" t="s">
        <v>253</v>
      </c>
    </row>
    <row r="8" spans="1:16" x14ac:dyDescent="0.2">
      <c r="A8" s="296" t="s">
        <v>273</v>
      </c>
      <c r="B8" s="289"/>
      <c r="C8" s="256" t="s">
        <v>238</v>
      </c>
      <c r="D8" s="255">
        <v>1</v>
      </c>
      <c r="E8" s="255">
        <v>1</v>
      </c>
      <c r="F8" s="255"/>
      <c r="G8" s="255"/>
      <c r="H8" s="255">
        <v>1</v>
      </c>
      <c r="I8" s="257" t="s">
        <v>281</v>
      </c>
      <c r="J8" s="255"/>
      <c r="K8" s="256" t="s">
        <v>274</v>
      </c>
      <c r="L8" s="255">
        <v>88</v>
      </c>
      <c r="M8" s="255">
        <v>36</v>
      </c>
      <c r="N8" s="255"/>
      <c r="O8" s="255"/>
      <c r="P8" s="255"/>
    </row>
    <row r="9" spans="1:16" x14ac:dyDescent="0.2">
      <c r="A9" s="296" t="s">
        <v>273</v>
      </c>
      <c r="B9" s="289"/>
      <c r="C9" s="256" t="s">
        <v>239</v>
      </c>
      <c r="D9" s="255">
        <v>1</v>
      </c>
      <c r="E9" s="255">
        <v>1</v>
      </c>
      <c r="F9" s="255"/>
      <c r="G9" s="255"/>
      <c r="H9" s="255">
        <v>1</v>
      </c>
      <c r="I9" s="258"/>
      <c r="J9" s="255"/>
      <c r="K9" s="256" t="s">
        <v>274</v>
      </c>
      <c r="L9" s="255">
        <v>88</v>
      </c>
      <c r="M9" s="255">
        <v>36</v>
      </c>
      <c r="N9" s="255"/>
      <c r="O9" s="255"/>
      <c r="P9" s="255"/>
    </row>
    <row r="10" spans="1:16" x14ac:dyDescent="0.2">
      <c r="A10" s="296" t="s">
        <v>273</v>
      </c>
      <c r="B10" s="289"/>
      <c r="C10" s="256" t="s">
        <v>240</v>
      </c>
      <c r="D10" s="255">
        <v>1</v>
      </c>
      <c r="E10" s="255">
        <v>1</v>
      </c>
      <c r="F10" s="255"/>
      <c r="G10" s="255"/>
      <c r="H10" s="256" t="s">
        <v>256</v>
      </c>
      <c r="I10" s="255"/>
      <c r="J10" s="255"/>
      <c r="K10" s="256"/>
      <c r="L10" s="255"/>
      <c r="M10" s="255"/>
      <c r="N10" s="256" t="s">
        <v>281</v>
      </c>
      <c r="O10" s="255"/>
      <c r="P10" s="255">
        <v>9</v>
      </c>
    </row>
    <row r="11" spans="1:16" x14ac:dyDescent="0.2">
      <c r="A11" s="296" t="s">
        <v>254</v>
      </c>
      <c r="B11" s="289"/>
      <c r="C11" s="256" t="s">
        <v>255</v>
      </c>
      <c r="D11" s="255">
        <v>1</v>
      </c>
      <c r="E11" s="255"/>
      <c r="F11" s="255">
        <v>1</v>
      </c>
      <c r="G11" s="255">
        <v>1</v>
      </c>
      <c r="H11" s="255"/>
      <c r="I11" s="255"/>
      <c r="J11" s="255">
        <v>2</v>
      </c>
      <c r="K11" s="256" t="s">
        <v>274</v>
      </c>
      <c r="L11" s="255">
        <v>20</v>
      </c>
      <c r="M11" s="255">
        <v>12</v>
      </c>
      <c r="N11" s="255"/>
      <c r="O11" s="255"/>
      <c r="P11" s="255"/>
    </row>
    <row r="12" spans="1:16" x14ac:dyDescent="0.2">
      <c r="A12" s="297"/>
      <c r="B12" s="297"/>
    </row>
    <row r="15" spans="1:16" x14ac:dyDescent="0.2">
      <c r="B15" s="255" t="s">
        <v>248</v>
      </c>
      <c r="C15" s="289" t="s">
        <v>293</v>
      </c>
      <c r="D15" s="289"/>
      <c r="E15" s="289"/>
    </row>
    <row r="16" spans="1:16" x14ac:dyDescent="0.2">
      <c r="B16" s="255" t="s">
        <v>292</v>
      </c>
      <c r="C16" s="289" t="s">
        <v>291</v>
      </c>
      <c r="D16" s="289"/>
      <c r="E16" s="289"/>
    </row>
    <row r="17" spans="2:5" x14ac:dyDescent="0.2">
      <c r="B17" s="255" t="s">
        <v>290</v>
      </c>
      <c r="C17" s="289" t="s">
        <v>291</v>
      </c>
      <c r="D17" s="289"/>
      <c r="E17" s="289"/>
    </row>
    <row r="18" spans="2:5" x14ac:dyDescent="0.2">
      <c r="B18" s="256" t="s">
        <v>257</v>
      </c>
      <c r="C18" s="296" t="s">
        <v>258</v>
      </c>
      <c r="D18" s="296"/>
      <c r="E18" s="296"/>
    </row>
    <row r="19" spans="2:5" x14ac:dyDescent="0.2">
      <c r="B19" s="256" t="s">
        <v>249</v>
      </c>
      <c r="C19" s="296" t="s">
        <v>258</v>
      </c>
      <c r="D19" s="296"/>
      <c r="E19" s="296"/>
    </row>
    <row r="20" spans="2:5" x14ac:dyDescent="0.2">
      <c r="B20" s="256" t="s">
        <v>286</v>
      </c>
      <c r="C20" s="289" t="s">
        <v>287</v>
      </c>
      <c r="D20" s="289"/>
      <c r="E20" s="289"/>
    </row>
  </sheetData>
  <mergeCells count="15">
    <mergeCell ref="C20:E20"/>
    <mergeCell ref="A1:P1"/>
    <mergeCell ref="A2:P2"/>
    <mergeCell ref="A3:P3"/>
    <mergeCell ref="C15:E15"/>
    <mergeCell ref="C16:E16"/>
    <mergeCell ref="C17:E17"/>
    <mergeCell ref="C18:E18"/>
    <mergeCell ref="C19:E19"/>
    <mergeCell ref="A5:P5"/>
    <mergeCell ref="A8:B8"/>
    <mergeCell ref="A9:B9"/>
    <mergeCell ref="A11:B11"/>
    <mergeCell ref="A12:B12"/>
    <mergeCell ref="A10:B10"/>
  </mergeCells>
  <pageMargins left="0.51181102362204722" right="0.51181102362204722" top="0.78740157480314965" bottom="0.78740157480314965" header="0.31496062992125984" footer="0.31496062992125984"/>
  <pageSetup paperSize="9" scale="7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70" zoomScaleNormal="100" zoomScaleSheetLayoutView="70" workbookViewId="0"/>
  </sheetViews>
  <sheetFormatPr defaultRowHeight="12.75" x14ac:dyDescent="0.2"/>
  <sheetData/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view="pageBreakPreview" topLeftCell="A19" zoomScaleNormal="100" zoomScaleSheetLayoutView="100" workbookViewId="0">
      <selection activeCell="C33" sqref="C33"/>
    </sheetView>
  </sheetViews>
  <sheetFormatPr defaultRowHeight="15" x14ac:dyDescent="0.25"/>
  <cols>
    <col min="1" max="2" width="9.140625" style="170"/>
    <col min="3" max="3" width="58.42578125" style="170" bestFit="1" customWidth="1"/>
    <col min="4" max="4" width="11.85546875" style="170" bestFit="1" customWidth="1"/>
    <col min="5" max="5" width="9.140625" style="170"/>
    <col min="6" max="8" width="9.140625" style="170" hidden="1" customWidth="1"/>
    <col min="9" max="258" width="9.140625" style="170"/>
    <col min="259" max="259" width="58.42578125" style="170" bestFit="1" customWidth="1"/>
    <col min="260" max="260" width="11.85546875" style="170" bestFit="1" customWidth="1"/>
    <col min="261" max="261" width="9.140625" style="170"/>
    <col min="262" max="264" width="0" style="170" hidden="1" customWidth="1"/>
    <col min="265" max="514" width="9.140625" style="170"/>
    <col min="515" max="515" width="58.42578125" style="170" bestFit="1" customWidth="1"/>
    <col min="516" max="516" width="11.85546875" style="170" bestFit="1" customWidth="1"/>
    <col min="517" max="517" width="9.140625" style="170"/>
    <col min="518" max="520" width="0" style="170" hidden="1" customWidth="1"/>
    <col min="521" max="770" width="9.140625" style="170"/>
    <col min="771" max="771" width="58.42578125" style="170" bestFit="1" customWidth="1"/>
    <col min="772" max="772" width="11.85546875" style="170" bestFit="1" customWidth="1"/>
    <col min="773" max="773" width="9.140625" style="170"/>
    <col min="774" max="776" width="0" style="170" hidden="1" customWidth="1"/>
    <col min="777" max="1026" width="9.140625" style="170"/>
    <col min="1027" max="1027" width="58.42578125" style="170" bestFit="1" customWidth="1"/>
    <col min="1028" max="1028" width="11.85546875" style="170" bestFit="1" customWidth="1"/>
    <col min="1029" max="1029" width="9.140625" style="170"/>
    <col min="1030" max="1032" width="0" style="170" hidden="1" customWidth="1"/>
    <col min="1033" max="1282" width="9.140625" style="170"/>
    <col min="1283" max="1283" width="58.42578125" style="170" bestFit="1" customWidth="1"/>
    <col min="1284" max="1284" width="11.85546875" style="170" bestFit="1" customWidth="1"/>
    <col min="1285" max="1285" width="9.140625" style="170"/>
    <col min="1286" max="1288" width="0" style="170" hidden="1" customWidth="1"/>
    <col min="1289" max="1538" width="9.140625" style="170"/>
    <col min="1539" max="1539" width="58.42578125" style="170" bestFit="1" customWidth="1"/>
    <col min="1540" max="1540" width="11.85546875" style="170" bestFit="1" customWidth="1"/>
    <col min="1541" max="1541" width="9.140625" style="170"/>
    <col min="1542" max="1544" width="0" style="170" hidden="1" customWidth="1"/>
    <col min="1545" max="1794" width="9.140625" style="170"/>
    <col min="1795" max="1795" width="58.42578125" style="170" bestFit="1" customWidth="1"/>
    <col min="1796" max="1796" width="11.85546875" style="170" bestFit="1" customWidth="1"/>
    <col min="1797" max="1797" width="9.140625" style="170"/>
    <col min="1798" max="1800" width="0" style="170" hidden="1" customWidth="1"/>
    <col min="1801" max="2050" width="9.140625" style="170"/>
    <col min="2051" max="2051" width="58.42578125" style="170" bestFit="1" customWidth="1"/>
    <col min="2052" max="2052" width="11.85546875" style="170" bestFit="1" customWidth="1"/>
    <col min="2053" max="2053" width="9.140625" style="170"/>
    <col min="2054" max="2056" width="0" style="170" hidden="1" customWidth="1"/>
    <col min="2057" max="2306" width="9.140625" style="170"/>
    <col min="2307" max="2307" width="58.42578125" style="170" bestFit="1" customWidth="1"/>
    <col min="2308" max="2308" width="11.85546875" style="170" bestFit="1" customWidth="1"/>
    <col min="2309" max="2309" width="9.140625" style="170"/>
    <col min="2310" max="2312" width="0" style="170" hidden="1" customWidth="1"/>
    <col min="2313" max="2562" width="9.140625" style="170"/>
    <col min="2563" max="2563" width="58.42578125" style="170" bestFit="1" customWidth="1"/>
    <col min="2564" max="2564" width="11.85546875" style="170" bestFit="1" customWidth="1"/>
    <col min="2565" max="2565" width="9.140625" style="170"/>
    <col min="2566" max="2568" width="0" style="170" hidden="1" customWidth="1"/>
    <col min="2569" max="2818" width="9.140625" style="170"/>
    <col min="2819" max="2819" width="58.42578125" style="170" bestFit="1" customWidth="1"/>
    <col min="2820" max="2820" width="11.85546875" style="170" bestFit="1" customWidth="1"/>
    <col min="2821" max="2821" width="9.140625" style="170"/>
    <col min="2822" max="2824" width="0" style="170" hidden="1" customWidth="1"/>
    <col min="2825" max="3074" width="9.140625" style="170"/>
    <col min="3075" max="3075" width="58.42578125" style="170" bestFit="1" customWidth="1"/>
    <col min="3076" max="3076" width="11.85546875" style="170" bestFit="1" customWidth="1"/>
    <col min="3077" max="3077" width="9.140625" style="170"/>
    <col min="3078" max="3080" width="0" style="170" hidden="1" customWidth="1"/>
    <col min="3081" max="3330" width="9.140625" style="170"/>
    <col min="3331" max="3331" width="58.42578125" style="170" bestFit="1" customWidth="1"/>
    <col min="3332" max="3332" width="11.85546875" style="170" bestFit="1" customWidth="1"/>
    <col min="3333" max="3333" width="9.140625" style="170"/>
    <col min="3334" max="3336" width="0" style="170" hidden="1" customWidth="1"/>
    <col min="3337" max="3586" width="9.140625" style="170"/>
    <col min="3587" max="3587" width="58.42578125" style="170" bestFit="1" customWidth="1"/>
    <col min="3588" max="3588" width="11.85546875" style="170" bestFit="1" customWidth="1"/>
    <col min="3589" max="3589" width="9.140625" style="170"/>
    <col min="3590" max="3592" width="0" style="170" hidden="1" customWidth="1"/>
    <col min="3593" max="3842" width="9.140625" style="170"/>
    <col min="3843" max="3843" width="58.42578125" style="170" bestFit="1" customWidth="1"/>
    <col min="3844" max="3844" width="11.85546875" style="170" bestFit="1" customWidth="1"/>
    <col min="3845" max="3845" width="9.140625" style="170"/>
    <col min="3846" max="3848" width="0" style="170" hidden="1" customWidth="1"/>
    <col min="3849" max="4098" width="9.140625" style="170"/>
    <col min="4099" max="4099" width="58.42578125" style="170" bestFit="1" customWidth="1"/>
    <col min="4100" max="4100" width="11.85546875" style="170" bestFit="1" customWidth="1"/>
    <col min="4101" max="4101" width="9.140625" style="170"/>
    <col min="4102" max="4104" width="0" style="170" hidden="1" customWidth="1"/>
    <col min="4105" max="4354" width="9.140625" style="170"/>
    <col min="4355" max="4355" width="58.42578125" style="170" bestFit="1" customWidth="1"/>
    <col min="4356" max="4356" width="11.85546875" style="170" bestFit="1" customWidth="1"/>
    <col min="4357" max="4357" width="9.140625" style="170"/>
    <col min="4358" max="4360" width="0" style="170" hidden="1" customWidth="1"/>
    <col min="4361" max="4610" width="9.140625" style="170"/>
    <col min="4611" max="4611" width="58.42578125" style="170" bestFit="1" customWidth="1"/>
    <col min="4612" max="4612" width="11.85546875" style="170" bestFit="1" customWidth="1"/>
    <col min="4613" max="4613" width="9.140625" style="170"/>
    <col min="4614" max="4616" width="0" style="170" hidden="1" customWidth="1"/>
    <col min="4617" max="4866" width="9.140625" style="170"/>
    <col min="4867" max="4867" width="58.42578125" style="170" bestFit="1" customWidth="1"/>
    <col min="4868" max="4868" width="11.85546875" style="170" bestFit="1" customWidth="1"/>
    <col min="4869" max="4869" width="9.140625" style="170"/>
    <col min="4870" max="4872" width="0" style="170" hidden="1" customWidth="1"/>
    <col min="4873" max="5122" width="9.140625" style="170"/>
    <col min="5123" max="5123" width="58.42578125" style="170" bestFit="1" customWidth="1"/>
    <col min="5124" max="5124" width="11.85546875" style="170" bestFit="1" customWidth="1"/>
    <col min="5125" max="5125" width="9.140625" style="170"/>
    <col min="5126" max="5128" width="0" style="170" hidden="1" customWidth="1"/>
    <col min="5129" max="5378" width="9.140625" style="170"/>
    <col min="5379" max="5379" width="58.42578125" style="170" bestFit="1" customWidth="1"/>
    <col min="5380" max="5380" width="11.85546875" style="170" bestFit="1" customWidth="1"/>
    <col min="5381" max="5381" width="9.140625" style="170"/>
    <col min="5382" max="5384" width="0" style="170" hidden="1" customWidth="1"/>
    <col min="5385" max="5634" width="9.140625" style="170"/>
    <col min="5635" max="5635" width="58.42578125" style="170" bestFit="1" customWidth="1"/>
    <col min="5636" max="5636" width="11.85546875" style="170" bestFit="1" customWidth="1"/>
    <col min="5637" max="5637" width="9.140625" style="170"/>
    <col min="5638" max="5640" width="0" style="170" hidden="1" customWidth="1"/>
    <col min="5641" max="5890" width="9.140625" style="170"/>
    <col min="5891" max="5891" width="58.42578125" style="170" bestFit="1" customWidth="1"/>
    <col min="5892" max="5892" width="11.85546875" style="170" bestFit="1" customWidth="1"/>
    <col min="5893" max="5893" width="9.140625" style="170"/>
    <col min="5894" max="5896" width="0" style="170" hidden="1" customWidth="1"/>
    <col min="5897" max="6146" width="9.140625" style="170"/>
    <col min="6147" max="6147" width="58.42578125" style="170" bestFit="1" customWidth="1"/>
    <col min="6148" max="6148" width="11.85546875" style="170" bestFit="1" customWidth="1"/>
    <col min="6149" max="6149" width="9.140625" style="170"/>
    <col min="6150" max="6152" width="0" style="170" hidden="1" customWidth="1"/>
    <col min="6153" max="6402" width="9.140625" style="170"/>
    <col min="6403" max="6403" width="58.42578125" style="170" bestFit="1" customWidth="1"/>
    <col min="6404" max="6404" width="11.85546875" style="170" bestFit="1" customWidth="1"/>
    <col min="6405" max="6405" width="9.140625" style="170"/>
    <col min="6406" max="6408" width="0" style="170" hidden="1" customWidth="1"/>
    <col min="6409" max="6658" width="9.140625" style="170"/>
    <col min="6659" max="6659" width="58.42578125" style="170" bestFit="1" customWidth="1"/>
    <col min="6660" max="6660" width="11.85546875" style="170" bestFit="1" customWidth="1"/>
    <col min="6661" max="6661" width="9.140625" style="170"/>
    <col min="6662" max="6664" width="0" style="170" hidden="1" customWidth="1"/>
    <col min="6665" max="6914" width="9.140625" style="170"/>
    <col min="6915" max="6915" width="58.42578125" style="170" bestFit="1" customWidth="1"/>
    <col min="6916" max="6916" width="11.85546875" style="170" bestFit="1" customWidth="1"/>
    <col min="6917" max="6917" width="9.140625" style="170"/>
    <col min="6918" max="6920" width="0" style="170" hidden="1" customWidth="1"/>
    <col min="6921" max="7170" width="9.140625" style="170"/>
    <col min="7171" max="7171" width="58.42578125" style="170" bestFit="1" customWidth="1"/>
    <col min="7172" max="7172" width="11.85546875" style="170" bestFit="1" customWidth="1"/>
    <col min="7173" max="7173" width="9.140625" style="170"/>
    <col min="7174" max="7176" width="0" style="170" hidden="1" customWidth="1"/>
    <col min="7177" max="7426" width="9.140625" style="170"/>
    <col min="7427" max="7427" width="58.42578125" style="170" bestFit="1" customWidth="1"/>
    <col min="7428" max="7428" width="11.85546875" style="170" bestFit="1" customWidth="1"/>
    <col min="7429" max="7429" width="9.140625" style="170"/>
    <col min="7430" max="7432" width="0" style="170" hidden="1" customWidth="1"/>
    <col min="7433" max="7682" width="9.140625" style="170"/>
    <col min="7683" max="7683" width="58.42578125" style="170" bestFit="1" customWidth="1"/>
    <col min="7684" max="7684" width="11.85546875" style="170" bestFit="1" customWidth="1"/>
    <col min="7685" max="7685" width="9.140625" style="170"/>
    <col min="7686" max="7688" width="0" style="170" hidden="1" customWidth="1"/>
    <col min="7689" max="7938" width="9.140625" style="170"/>
    <col min="7939" max="7939" width="58.42578125" style="170" bestFit="1" customWidth="1"/>
    <col min="7940" max="7940" width="11.85546875" style="170" bestFit="1" customWidth="1"/>
    <col min="7941" max="7941" width="9.140625" style="170"/>
    <col min="7942" max="7944" width="0" style="170" hidden="1" customWidth="1"/>
    <col min="7945" max="8194" width="9.140625" style="170"/>
    <col min="8195" max="8195" width="58.42578125" style="170" bestFit="1" customWidth="1"/>
    <col min="8196" max="8196" width="11.85546875" style="170" bestFit="1" customWidth="1"/>
    <col min="8197" max="8197" width="9.140625" style="170"/>
    <col min="8198" max="8200" width="0" style="170" hidden="1" customWidth="1"/>
    <col min="8201" max="8450" width="9.140625" style="170"/>
    <col min="8451" max="8451" width="58.42578125" style="170" bestFit="1" customWidth="1"/>
    <col min="8452" max="8452" width="11.85546875" style="170" bestFit="1" customWidth="1"/>
    <col min="8453" max="8453" width="9.140625" style="170"/>
    <col min="8454" max="8456" width="0" style="170" hidden="1" customWidth="1"/>
    <col min="8457" max="8706" width="9.140625" style="170"/>
    <col min="8707" max="8707" width="58.42578125" style="170" bestFit="1" customWidth="1"/>
    <col min="8708" max="8708" width="11.85546875" style="170" bestFit="1" customWidth="1"/>
    <col min="8709" max="8709" width="9.140625" style="170"/>
    <col min="8710" max="8712" width="0" style="170" hidden="1" customWidth="1"/>
    <col min="8713" max="8962" width="9.140625" style="170"/>
    <col min="8963" max="8963" width="58.42578125" style="170" bestFit="1" customWidth="1"/>
    <col min="8964" max="8964" width="11.85546875" style="170" bestFit="1" customWidth="1"/>
    <col min="8965" max="8965" width="9.140625" style="170"/>
    <col min="8966" max="8968" width="0" style="170" hidden="1" customWidth="1"/>
    <col min="8969" max="9218" width="9.140625" style="170"/>
    <col min="9219" max="9219" width="58.42578125" style="170" bestFit="1" customWidth="1"/>
    <col min="9220" max="9220" width="11.85546875" style="170" bestFit="1" customWidth="1"/>
    <col min="9221" max="9221" width="9.140625" style="170"/>
    <col min="9222" max="9224" width="0" style="170" hidden="1" customWidth="1"/>
    <col min="9225" max="9474" width="9.140625" style="170"/>
    <col min="9475" max="9475" width="58.42578125" style="170" bestFit="1" customWidth="1"/>
    <col min="9476" max="9476" width="11.85546875" style="170" bestFit="1" customWidth="1"/>
    <col min="9477" max="9477" width="9.140625" style="170"/>
    <col min="9478" max="9480" width="0" style="170" hidden="1" customWidth="1"/>
    <col min="9481" max="9730" width="9.140625" style="170"/>
    <col min="9731" max="9731" width="58.42578125" style="170" bestFit="1" customWidth="1"/>
    <col min="9732" max="9732" width="11.85546875" style="170" bestFit="1" customWidth="1"/>
    <col min="9733" max="9733" width="9.140625" style="170"/>
    <col min="9734" max="9736" width="0" style="170" hidden="1" customWidth="1"/>
    <col min="9737" max="9986" width="9.140625" style="170"/>
    <col min="9987" max="9987" width="58.42578125" style="170" bestFit="1" customWidth="1"/>
    <col min="9988" max="9988" width="11.85546875" style="170" bestFit="1" customWidth="1"/>
    <col min="9989" max="9989" width="9.140625" style="170"/>
    <col min="9990" max="9992" width="0" style="170" hidden="1" customWidth="1"/>
    <col min="9993" max="10242" width="9.140625" style="170"/>
    <col min="10243" max="10243" width="58.42578125" style="170" bestFit="1" customWidth="1"/>
    <col min="10244" max="10244" width="11.85546875" style="170" bestFit="1" customWidth="1"/>
    <col min="10245" max="10245" width="9.140625" style="170"/>
    <col min="10246" max="10248" width="0" style="170" hidden="1" customWidth="1"/>
    <col min="10249" max="10498" width="9.140625" style="170"/>
    <col min="10499" max="10499" width="58.42578125" style="170" bestFit="1" customWidth="1"/>
    <col min="10500" max="10500" width="11.85546875" style="170" bestFit="1" customWidth="1"/>
    <col min="10501" max="10501" width="9.140625" style="170"/>
    <col min="10502" max="10504" width="0" style="170" hidden="1" customWidth="1"/>
    <col min="10505" max="10754" width="9.140625" style="170"/>
    <col min="10755" max="10755" width="58.42578125" style="170" bestFit="1" customWidth="1"/>
    <col min="10756" max="10756" width="11.85546875" style="170" bestFit="1" customWidth="1"/>
    <col min="10757" max="10757" width="9.140625" style="170"/>
    <col min="10758" max="10760" width="0" style="170" hidden="1" customWidth="1"/>
    <col min="10761" max="11010" width="9.140625" style="170"/>
    <col min="11011" max="11011" width="58.42578125" style="170" bestFit="1" customWidth="1"/>
    <col min="11012" max="11012" width="11.85546875" style="170" bestFit="1" customWidth="1"/>
    <col min="11013" max="11013" width="9.140625" style="170"/>
    <col min="11014" max="11016" width="0" style="170" hidden="1" customWidth="1"/>
    <col min="11017" max="11266" width="9.140625" style="170"/>
    <col min="11267" max="11267" width="58.42578125" style="170" bestFit="1" customWidth="1"/>
    <col min="11268" max="11268" width="11.85546875" style="170" bestFit="1" customWidth="1"/>
    <col min="11269" max="11269" width="9.140625" style="170"/>
    <col min="11270" max="11272" width="0" style="170" hidden="1" customWidth="1"/>
    <col min="11273" max="11522" width="9.140625" style="170"/>
    <col min="11523" max="11523" width="58.42578125" style="170" bestFit="1" customWidth="1"/>
    <col min="11524" max="11524" width="11.85546875" style="170" bestFit="1" customWidth="1"/>
    <col min="11525" max="11525" width="9.140625" style="170"/>
    <col min="11526" max="11528" width="0" style="170" hidden="1" customWidth="1"/>
    <col min="11529" max="11778" width="9.140625" style="170"/>
    <col min="11779" max="11779" width="58.42578125" style="170" bestFit="1" customWidth="1"/>
    <col min="11780" max="11780" width="11.85546875" style="170" bestFit="1" customWidth="1"/>
    <col min="11781" max="11781" width="9.140625" style="170"/>
    <col min="11782" max="11784" width="0" style="170" hidden="1" customWidth="1"/>
    <col min="11785" max="12034" width="9.140625" style="170"/>
    <col min="12035" max="12035" width="58.42578125" style="170" bestFit="1" customWidth="1"/>
    <col min="12036" max="12036" width="11.85546875" style="170" bestFit="1" customWidth="1"/>
    <col min="12037" max="12037" width="9.140625" style="170"/>
    <col min="12038" max="12040" width="0" style="170" hidden="1" customWidth="1"/>
    <col min="12041" max="12290" width="9.140625" style="170"/>
    <col min="12291" max="12291" width="58.42578125" style="170" bestFit="1" customWidth="1"/>
    <col min="12292" max="12292" width="11.85546875" style="170" bestFit="1" customWidth="1"/>
    <col min="12293" max="12293" width="9.140625" style="170"/>
    <col min="12294" max="12296" width="0" style="170" hidden="1" customWidth="1"/>
    <col min="12297" max="12546" width="9.140625" style="170"/>
    <col min="12547" max="12547" width="58.42578125" style="170" bestFit="1" customWidth="1"/>
    <col min="12548" max="12548" width="11.85546875" style="170" bestFit="1" customWidth="1"/>
    <col min="12549" max="12549" width="9.140625" style="170"/>
    <col min="12550" max="12552" width="0" style="170" hidden="1" customWidth="1"/>
    <col min="12553" max="12802" width="9.140625" style="170"/>
    <col min="12803" max="12803" width="58.42578125" style="170" bestFit="1" customWidth="1"/>
    <col min="12804" max="12804" width="11.85546875" style="170" bestFit="1" customWidth="1"/>
    <col min="12805" max="12805" width="9.140625" style="170"/>
    <col min="12806" max="12808" width="0" style="170" hidden="1" customWidth="1"/>
    <col min="12809" max="13058" width="9.140625" style="170"/>
    <col min="13059" max="13059" width="58.42578125" style="170" bestFit="1" customWidth="1"/>
    <col min="13060" max="13060" width="11.85546875" style="170" bestFit="1" customWidth="1"/>
    <col min="13061" max="13061" width="9.140625" style="170"/>
    <col min="13062" max="13064" width="0" style="170" hidden="1" customWidth="1"/>
    <col min="13065" max="13314" width="9.140625" style="170"/>
    <col min="13315" max="13315" width="58.42578125" style="170" bestFit="1" customWidth="1"/>
    <col min="13316" max="13316" width="11.85546875" style="170" bestFit="1" customWidth="1"/>
    <col min="13317" max="13317" width="9.140625" style="170"/>
    <col min="13318" max="13320" width="0" style="170" hidden="1" customWidth="1"/>
    <col min="13321" max="13570" width="9.140625" style="170"/>
    <col min="13571" max="13571" width="58.42578125" style="170" bestFit="1" customWidth="1"/>
    <col min="13572" max="13572" width="11.85546875" style="170" bestFit="1" customWidth="1"/>
    <col min="13573" max="13573" width="9.140625" style="170"/>
    <col min="13574" max="13576" width="0" style="170" hidden="1" customWidth="1"/>
    <col min="13577" max="13826" width="9.140625" style="170"/>
    <col min="13827" max="13827" width="58.42578125" style="170" bestFit="1" customWidth="1"/>
    <col min="13828" max="13828" width="11.85546875" style="170" bestFit="1" customWidth="1"/>
    <col min="13829" max="13829" width="9.140625" style="170"/>
    <col min="13830" max="13832" width="0" style="170" hidden="1" customWidth="1"/>
    <col min="13833" max="14082" width="9.140625" style="170"/>
    <col min="14083" max="14083" width="58.42578125" style="170" bestFit="1" customWidth="1"/>
    <col min="14084" max="14084" width="11.85546875" style="170" bestFit="1" customWidth="1"/>
    <col min="14085" max="14085" width="9.140625" style="170"/>
    <col min="14086" max="14088" width="0" style="170" hidden="1" customWidth="1"/>
    <col min="14089" max="14338" width="9.140625" style="170"/>
    <col min="14339" max="14339" width="58.42578125" style="170" bestFit="1" customWidth="1"/>
    <col min="14340" max="14340" width="11.85546875" style="170" bestFit="1" customWidth="1"/>
    <col min="14341" max="14341" width="9.140625" style="170"/>
    <col min="14342" max="14344" width="0" style="170" hidden="1" customWidth="1"/>
    <col min="14345" max="14594" width="9.140625" style="170"/>
    <col min="14595" max="14595" width="58.42578125" style="170" bestFit="1" customWidth="1"/>
    <col min="14596" max="14596" width="11.85546875" style="170" bestFit="1" customWidth="1"/>
    <col min="14597" max="14597" width="9.140625" style="170"/>
    <col min="14598" max="14600" width="0" style="170" hidden="1" customWidth="1"/>
    <col min="14601" max="14850" width="9.140625" style="170"/>
    <col min="14851" max="14851" width="58.42578125" style="170" bestFit="1" customWidth="1"/>
    <col min="14852" max="14852" width="11.85546875" style="170" bestFit="1" customWidth="1"/>
    <col min="14853" max="14853" width="9.140625" style="170"/>
    <col min="14854" max="14856" width="0" style="170" hidden="1" customWidth="1"/>
    <col min="14857" max="15106" width="9.140625" style="170"/>
    <col min="15107" max="15107" width="58.42578125" style="170" bestFit="1" customWidth="1"/>
    <col min="15108" max="15108" width="11.85546875" style="170" bestFit="1" customWidth="1"/>
    <col min="15109" max="15109" width="9.140625" style="170"/>
    <col min="15110" max="15112" width="0" style="170" hidden="1" customWidth="1"/>
    <col min="15113" max="15362" width="9.140625" style="170"/>
    <col min="15363" max="15363" width="58.42578125" style="170" bestFit="1" customWidth="1"/>
    <col min="15364" max="15364" width="11.85546875" style="170" bestFit="1" customWidth="1"/>
    <col min="15365" max="15365" width="9.140625" style="170"/>
    <col min="15366" max="15368" width="0" style="170" hidden="1" customWidth="1"/>
    <col min="15369" max="15618" width="9.140625" style="170"/>
    <col min="15619" max="15619" width="58.42578125" style="170" bestFit="1" customWidth="1"/>
    <col min="15620" max="15620" width="11.85546875" style="170" bestFit="1" customWidth="1"/>
    <col min="15621" max="15621" width="9.140625" style="170"/>
    <col min="15622" max="15624" width="0" style="170" hidden="1" customWidth="1"/>
    <col min="15625" max="15874" width="9.140625" style="170"/>
    <col min="15875" max="15875" width="58.42578125" style="170" bestFit="1" customWidth="1"/>
    <col min="15876" max="15876" width="11.85546875" style="170" bestFit="1" customWidth="1"/>
    <col min="15877" max="15877" width="9.140625" style="170"/>
    <col min="15878" max="15880" width="0" style="170" hidden="1" customWidth="1"/>
    <col min="15881" max="16130" width="9.140625" style="170"/>
    <col min="16131" max="16131" width="58.42578125" style="170" bestFit="1" customWidth="1"/>
    <col min="16132" max="16132" width="11.85546875" style="170" bestFit="1" customWidth="1"/>
    <col min="16133" max="16133" width="9.140625" style="170"/>
    <col min="16134" max="16136" width="0" style="170" hidden="1" customWidth="1"/>
    <col min="16137" max="16384" width="9.140625" style="170"/>
  </cols>
  <sheetData>
    <row r="1" spans="1:15" ht="30" x14ac:dyDescent="0.4">
      <c r="A1" s="301" t="s">
        <v>211</v>
      </c>
      <c r="B1" s="302"/>
      <c r="C1" s="302"/>
      <c r="D1" s="303"/>
      <c r="E1" s="168"/>
      <c r="F1" s="168"/>
      <c r="G1" s="168"/>
      <c r="H1" s="168"/>
      <c r="I1" s="168"/>
      <c r="J1" s="169"/>
    </row>
    <row r="2" spans="1:15" ht="23.25" x14ac:dyDescent="0.35">
      <c r="A2" s="304" t="s">
        <v>212</v>
      </c>
      <c r="B2" s="305"/>
      <c r="C2" s="305"/>
      <c r="D2" s="306"/>
      <c r="E2" s="171"/>
      <c r="F2" s="171"/>
      <c r="G2" s="171"/>
      <c r="H2" s="171"/>
      <c r="I2" s="171"/>
      <c r="J2" s="172"/>
    </row>
    <row r="3" spans="1:15" ht="23.25" x14ac:dyDescent="0.35">
      <c r="A3" s="307"/>
      <c r="B3" s="308"/>
      <c r="C3" s="308"/>
      <c r="D3" s="309"/>
      <c r="E3" s="173"/>
      <c r="F3" s="173"/>
      <c r="G3" s="173"/>
      <c r="H3" s="173"/>
      <c r="I3" s="173"/>
    </row>
    <row r="4" spans="1:15" ht="22.5" x14ac:dyDescent="0.3">
      <c r="A4" s="310" t="s">
        <v>213</v>
      </c>
      <c r="B4" s="311"/>
      <c r="C4" s="311"/>
      <c r="D4" s="312"/>
      <c r="E4" s="174"/>
      <c r="F4" s="174"/>
      <c r="G4" s="174"/>
      <c r="H4" s="174"/>
      <c r="I4" s="174"/>
    </row>
    <row r="5" spans="1:15" ht="102" customHeight="1" x14ac:dyDescent="0.25">
      <c r="A5" s="313" t="s">
        <v>214</v>
      </c>
      <c r="B5" s="314"/>
      <c r="C5" s="314"/>
      <c r="D5" s="315"/>
      <c r="E5" s="169"/>
      <c r="F5" s="169"/>
      <c r="G5" s="169"/>
      <c r="H5" s="169"/>
      <c r="I5" s="169"/>
    </row>
    <row r="6" spans="1:15" ht="15.75" x14ac:dyDescent="0.25">
      <c r="A6" s="316"/>
      <c r="B6" s="317"/>
      <c r="C6" s="317"/>
      <c r="D6" s="318"/>
      <c r="E6" s="172"/>
      <c r="F6" s="172"/>
      <c r="G6" s="172"/>
      <c r="H6" s="172"/>
      <c r="I6" s="172"/>
    </row>
    <row r="7" spans="1:15" x14ac:dyDescent="0.25">
      <c r="A7" s="175"/>
      <c r="B7" s="176"/>
      <c r="C7" s="176"/>
      <c r="D7" s="177"/>
    </row>
    <row r="8" spans="1:15" ht="15.75" x14ac:dyDescent="0.25">
      <c r="A8" s="178"/>
      <c r="B8" s="179"/>
      <c r="C8" s="180" t="s">
        <v>215</v>
      </c>
      <c r="D8" s="181"/>
    </row>
    <row r="9" spans="1:15" ht="15.75" x14ac:dyDescent="0.25">
      <c r="A9" s="182">
        <v>1</v>
      </c>
      <c r="B9" s="179" t="s">
        <v>60</v>
      </c>
      <c r="C9" s="183" t="s">
        <v>216</v>
      </c>
      <c r="D9" s="184">
        <v>6.6100000000000006E-2</v>
      </c>
      <c r="F9" s="170">
        <v>5.29</v>
      </c>
      <c r="G9" s="170">
        <v>7.93</v>
      </c>
      <c r="H9" s="170">
        <f>(F9+G9)/2</f>
        <v>6.6099999999999994</v>
      </c>
    </row>
    <row r="10" spans="1:15" ht="15.75" x14ac:dyDescent="0.25">
      <c r="A10" s="182">
        <v>2</v>
      </c>
      <c r="B10" s="179" t="s">
        <v>217</v>
      </c>
      <c r="C10" s="183" t="s">
        <v>218</v>
      </c>
      <c r="D10" s="184">
        <v>4.0499999999999998E-3</v>
      </c>
      <c r="F10" s="170">
        <v>0.25</v>
      </c>
      <c r="G10" s="170">
        <v>0.56000000000000005</v>
      </c>
      <c r="H10" s="170">
        <f>(F10+G10)/2</f>
        <v>0.40500000000000003</v>
      </c>
    </row>
    <row r="11" spans="1:15" ht="15.75" x14ac:dyDescent="0.25">
      <c r="A11" s="182">
        <v>3</v>
      </c>
      <c r="B11" s="179" t="s">
        <v>219</v>
      </c>
      <c r="C11" s="183" t="s">
        <v>220</v>
      </c>
      <c r="D11" s="184">
        <v>1.49E-2</v>
      </c>
      <c r="F11" s="170">
        <v>1</v>
      </c>
      <c r="G11" s="170">
        <v>1.97</v>
      </c>
      <c r="H11" s="170">
        <f>(F11+G11)/2</f>
        <v>1.4849999999999999</v>
      </c>
    </row>
    <row r="12" spans="1:15" ht="15.75" x14ac:dyDescent="0.25">
      <c r="A12" s="182">
        <v>4</v>
      </c>
      <c r="B12" s="179" t="s">
        <v>63</v>
      </c>
      <c r="C12" s="183" t="s">
        <v>221</v>
      </c>
      <c r="D12" s="184">
        <v>1.06E-2</v>
      </c>
      <c r="F12" s="170">
        <v>1.01</v>
      </c>
      <c r="G12" s="170">
        <v>1.1100000000000001</v>
      </c>
      <c r="H12" s="170">
        <f>(F12+G12)/2</f>
        <v>1.06</v>
      </c>
    </row>
    <row r="13" spans="1:15" ht="15.75" x14ac:dyDescent="0.25">
      <c r="A13" s="185">
        <v>5</v>
      </c>
      <c r="B13" s="180" t="s">
        <v>62</v>
      </c>
      <c r="C13" s="183" t="s">
        <v>61</v>
      </c>
      <c r="D13" s="184">
        <v>8.7599999999999997E-2</v>
      </c>
      <c r="F13" s="170">
        <v>8</v>
      </c>
      <c r="G13" s="170">
        <v>9.51</v>
      </c>
      <c r="H13" s="170">
        <f>(F13+G13)/2</f>
        <v>8.754999999999999</v>
      </c>
    </row>
    <row r="14" spans="1:15" ht="15.75" x14ac:dyDescent="0.25">
      <c r="A14" s="185">
        <v>6</v>
      </c>
      <c r="B14" s="180" t="s">
        <v>222</v>
      </c>
      <c r="C14" s="183" t="s">
        <v>223</v>
      </c>
      <c r="D14" s="184">
        <f>D15+D16+D17+D18</f>
        <v>9.0899999999999995E-2</v>
      </c>
    </row>
    <row r="15" spans="1:15" ht="15.75" x14ac:dyDescent="0.25">
      <c r="A15" s="185" t="s">
        <v>224</v>
      </c>
      <c r="B15" s="179" t="s">
        <v>225</v>
      </c>
      <c r="C15" s="186" t="s">
        <v>225</v>
      </c>
      <c r="D15" s="187">
        <v>6.4999999999999997E-3</v>
      </c>
    </row>
    <row r="16" spans="1:15" ht="15.75" x14ac:dyDescent="0.25">
      <c r="A16" s="185" t="s">
        <v>226</v>
      </c>
      <c r="B16" s="179" t="s">
        <v>227</v>
      </c>
      <c r="C16" s="186" t="s">
        <v>227</v>
      </c>
      <c r="D16" s="187">
        <v>0.03</v>
      </c>
      <c r="J16" s="188"/>
      <c r="K16" s="188"/>
      <c r="L16" s="188"/>
      <c r="M16" s="188"/>
      <c r="N16" s="188"/>
      <c r="O16" s="188"/>
    </row>
    <row r="17" spans="1:15" ht="15.75" x14ac:dyDescent="0.25">
      <c r="A17" s="185" t="s">
        <v>228</v>
      </c>
      <c r="B17" s="179" t="s">
        <v>229</v>
      </c>
      <c r="C17" s="186" t="s">
        <v>230</v>
      </c>
      <c r="D17" s="187">
        <v>4.4999999999999998E-2</v>
      </c>
      <c r="J17" s="188"/>
      <c r="K17" s="188"/>
      <c r="L17" s="188"/>
      <c r="M17" s="188"/>
      <c r="N17" s="188"/>
      <c r="O17" s="188"/>
    </row>
    <row r="18" spans="1:15" ht="15.75" x14ac:dyDescent="0.25">
      <c r="A18" s="185" t="s">
        <v>231</v>
      </c>
      <c r="B18" s="179" t="s">
        <v>232</v>
      </c>
      <c r="C18" s="186" t="s">
        <v>233</v>
      </c>
      <c r="D18" s="187">
        <v>9.4000000000000004E-3</v>
      </c>
      <c r="G18" s="189"/>
      <c r="H18" s="189"/>
      <c r="J18" s="188"/>
      <c r="K18" s="188"/>
      <c r="L18" s="188"/>
      <c r="M18" s="188"/>
      <c r="N18" s="188"/>
      <c r="O18" s="188"/>
    </row>
    <row r="19" spans="1:15" ht="15.75" x14ac:dyDescent="0.25">
      <c r="A19" s="190"/>
      <c r="B19" s="191"/>
      <c r="C19" s="192"/>
      <c r="D19" s="193"/>
      <c r="G19" s="189"/>
      <c r="H19" s="189"/>
      <c r="J19" s="188"/>
      <c r="K19" s="188"/>
      <c r="L19" s="188"/>
      <c r="M19" s="188"/>
      <c r="N19" s="188"/>
      <c r="O19" s="188"/>
    </row>
    <row r="20" spans="1:15" ht="15.75" x14ac:dyDescent="0.25">
      <c r="A20" s="194"/>
      <c r="B20" s="195"/>
      <c r="C20" s="196"/>
      <c r="D20" s="197"/>
      <c r="G20" s="189"/>
      <c r="J20" s="188"/>
      <c r="K20" s="188"/>
      <c r="L20" s="188"/>
      <c r="M20" s="188"/>
      <c r="N20" s="188"/>
      <c r="O20" s="188"/>
    </row>
    <row r="21" spans="1:15" ht="7.5" customHeight="1" x14ac:dyDescent="0.25">
      <c r="A21" s="190"/>
      <c r="B21" s="172"/>
      <c r="C21" s="191"/>
      <c r="D21" s="198"/>
      <c r="J21" s="199"/>
      <c r="K21" s="199"/>
      <c r="L21" s="199"/>
      <c r="M21" s="199"/>
      <c r="N21" s="199"/>
      <c r="O21" s="199"/>
    </row>
    <row r="22" spans="1:15" ht="15.75" x14ac:dyDescent="0.25">
      <c r="A22" s="200"/>
      <c r="B22" s="201"/>
      <c r="C22" s="202"/>
      <c r="D22" s="203"/>
      <c r="F22" s="188"/>
      <c r="G22" s="188"/>
      <c r="H22" s="199"/>
      <c r="I22" s="199"/>
      <c r="J22" s="199"/>
      <c r="K22" s="199"/>
      <c r="L22" s="199"/>
      <c r="M22" s="199"/>
      <c r="N22" s="199"/>
      <c r="O22" s="199"/>
    </row>
    <row r="23" spans="1:15" x14ac:dyDescent="0.25">
      <c r="A23" s="298" t="s">
        <v>234</v>
      </c>
      <c r="B23" s="299"/>
      <c r="C23" s="299"/>
      <c r="D23" s="300"/>
      <c r="F23" s="188"/>
      <c r="G23" s="188"/>
      <c r="H23" s="204"/>
      <c r="I23" s="204"/>
    </row>
    <row r="24" spans="1:15" ht="15.75" x14ac:dyDescent="0.25">
      <c r="A24" s="205"/>
      <c r="B24" s="206"/>
      <c r="C24" s="207" t="s">
        <v>235</v>
      </c>
      <c r="D24" s="208">
        <f>((((((1+D9+D10+D11)*(1+D12)*(1+D13)))/(1-D14))))-1</f>
        <v>0.31185726985810103</v>
      </c>
      <c r="E24" s="209"/>
      <c r="F24" s="188"/>
      <c r="G24" s="188"/>
      <c r="H24" s="204"/>
      <c r="I24" s="204"/>
    </row>
    <row r="25" spans="1:15" ht="15.75" x14ac:dyDescent="0.25">
      <c r="A25" s="210"/>
      <c r="B25" s="201"/>
      <c r="C25" s="211"/>
      <c r="D25" s="212"/>
      <c r="F25" s="188"/>
      <c r="G25" s="188"/>
      <c r="H25" s="199"/>
      <c r="I25" s="199"/>
    </row>
    <row r="26" spans="1:15" x14ac:dyDescent="0.25">
      <c r="A26" s="213"/>
      <c r="B26" s="214"/>
      <c r="C26" s="215"/>
      <c r="D26" s="216"/>
      <c r="F26" s="188"/>
      <c r="G26" s="188"/>
      <c r="H26" s="199"/>
      <c r="I26" s="199"/>
    </row>
    <row r="27" spans="1:15" x14ac:dyDescent="0.25">
      <c r="A27" s="213" t="s">
        <v>236</v>
      </c>
      <c r="B27" s="214"/>
      <c r="C27" s="217"/>
      <c r="D27" s="218"/>
    </row>
    <row r="28" spans="1:15" x14ac:dyDescent="0.25">
      <c r="A28" s="213" t="s">
        <v>261</v>
      </c>
      <c r="B28" s="214"/>
      <c r="C28" s="219"/>
      <c r="D28" s="220"/>
    </row>
    <row r="29" spans="1:15" x14ac:dyDescent="0.25">
      <c r="A29" s="175"/>
      <c r="B29" s="221"/>
      <c r="C29" s="176"/>
      <c r="D29" s="177"/>
    </row>
    <row r="30" spans="1:15" ht="15.75" thickBot="1" x14ac:dyDescent="0.3">
      <c r="A30" s="222"/>
      <c r="B30" s="223" t="s">
        <v>237</v>
      </c>
      <c r="C30" s="223"/>
      <c r="D30" s="224"/>
    </row>
  </sheetData>
  <mergeCells count="7">
    <mergeCell ref="A23:D23"/>
    <mergeCell ref="A1:D1"/>
    <mergeCell ref="A2:D2"/>
    <mergeCell ref="A3:D3"/>
    <mergeCell ref="A4:D4"/>
    <mergeCell ref="A5:D5"/>
    <mergeCell ref="A6:D6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7"/>
  <sheetViews>
    <sheetView workbookViewId="0">
      <selection sqref="A1:B1"/>
    </sheetView>
  </sheetViews>
  <sheetFormatPr defaultRowHeight="19.5" customHeight="1" x14ac:dyDescent="0.2"/>
  <cols>
    <col min="1" max="1" width="24.5703125" style="1" customWidth="1"/>
    <col min="2" max="2" width="20.85546875" style="1" customWidth="1"/>
    <col min="3" max="16384" width="9.140625" style="1"/>
  </cols>
  <sheetData>
    <row r="1" spans="1:2" ht="19.5" customHeight="1" thickBot="1" x14ac:dyDescent="0.25">
      <c r="A1" s="319" t="s">
        <v>113</v>
      </c>
      <c r="B1" s="320"/>
    </row>
    <row r="2" spans="1:2" s="79" customFormat="1" ht="19.5" customHeight="1" x14ac:dyDescent="0.2">
      <c r="A2" s="129" t="s">
        <v>100</v>
      </c>
      <c r="B2" s="130" t="s">
        <v>130</v>
      </c>
    </row>
    <row r="3" spans="1:2" ht="19.5" customHeight="1" x14ac:dyDescent="0.2">
      <c r="A3" s="115">
        <v>1</v>
      </c>
      <c r="B3" s="114">
        <v>33.629999999999995</v>
      </c>
    </row>
    <row r="4" spans="1:2" ht="19.5" customHeight="1" x14ac:dyDescent="0.2">
      <c r="A4" s="115">
        <v>2</v>
      </c>
      <c r="B4" s="114">
        <v>43.13</v>
      </c>
    </row>
    <row r="5" spans="1:2" ht="19.5" customHeight="1" x14ac:dyDescent="0.2">
      <c r="A5" s="115">
        <v>3</v>
      </c>
      <c r="B5" s="114">
        <v>48.68</v>
      </c>
    </row>
    <row r="6" spans="1:2" ht="19.5" customHeight="1" x14ac:dyDescent="0.2">
      <c r="A6" s="115">
        <v>4</v>
      </c>
      <c r="B6" s="114">
        <v>52.62</v>
      </c>
    </row>
    <row r="7" spans="1:2" ht="19.5" customHeight="1" x14ac:dyDescent="0.2">
      <c r="A7" s="115">
        <v>5</v>
      </c>
      <c r="B7" s="114">
        <v>55.679999999999993</v>
      </c>
    </row>
    <row r="8" spans="1:2" ht="19.5" customHeight="1" x14ac:dyDescent="0.2">
      <c r="A8" s="115">
        <v>6</v>
      </c>
      <c r="B8" s="114">
        <v>58.18</v>
      </c>
    </row>
    <row r="9" spans="1:2" ht="19.5" customHeight="1" x14ac:dyDescent="0.2">
      <c r="A9" s="115">
        <v>7</v>
      </c>
      <c r="B9" s="114">
        <v>60.29</v>
      </c>
    </row>
    <row r="10" spans="1:2" ht="19.5" customHeight="1" x14ac:dyDescent="0.2">
      <c r="A10" s="115">
        <v>8</v>
      </c>
      <c r="B10" s="114">
        <v>62.12</v>
      </c>
    </row>
    <row r="11" spans="1:2" ht="19.5" customHeight="1" x14ac:dyDescent="0.2">
      <c r="A11" s="115">
        <v>9</v>
      </c>
      <c r="B11" s="114">
        <v>63.73</v>
      </c>
    </row>
    <row r="12" spans="1:2" ht="19.5" customHeight="1" x14ac:dyDescent="0.2">
      <c r="A12" s="115">
        <v>10</v>
      </c>
      <c r="B12" s="114">
        <v>65.180000000000007</v>
      </c>
    </row>
    <row r="13" spans="1:2" ht="19.5" customHeight="1" x14ac:dyDescent="0.2">
      <c r="A13" s="115">
        <v>11</v>
      </c>
      <c r="B13" s="114">
        <v>66.47999999999999</v>
      </c>
    </row>
    <row r="14" spans="1:2" ht="19.5" customHeight="1" x14ac:dyDescent="0.2">
      <c r="A14" s="115">
        <v>12</v>
      </c>
      <c r="B14" s="114">
        <v>67.67</v>
      </c>
    </row>
    <row r="15" spans="1:2" ht="19.5" customHeight="1" x14ac:dyDescent="0.2">
      <c r="A15" s="115">
        <v>13</v>
      </c>
      <c r="B15" s="114">
        <v>68.77</v>
      </c>
    </row>
    <row r="16" spans="1:2" ht="19.5" customHeight="1" x14ac:dyDescent="0.2">
      <c r="A16" s="115">
        <v>14</v>
      </c>
      <c r="B16" s="114">
        <v>69.789999999999992</v>
      </c>
    </row>
    <row r="17" spans="1:2" ht="19.5" customHeight="1" thickBot="1" x14ac:dyDescent="0.25">
      <c r="A17" s="116">
        <v>15</v>
      </c>
      <c r="B17" s="117">
        <v>70.73</v>
      </c>
    </row>
  </sheetData>
  <mergeCells count="1">
    <mergeCell ref="A1:B1"/>
  </mergeCells>
  <pageMargins left="0.90551181102362199" right="0.51181102362204722" top="0.74803149606299213" bottom="0.74803149606299213" header="0.31496062992125984" footer="0.31496062992125984"/>
  <pageSetup paperSize="9" orientation="portrait" verticalDpi="597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7"/>
  <sheetViews>
    <sheetView workbookViewId="0">
      <selection activeCell="E16" sqref="E16"/>
    </sheetView>
  </sheetViews>
  <sheetFormatPr defaultRowHeight="12.75" x14ac:dyDescent="0.2"/>
  <cols>
    <col min="1" max="1" width="70.42578125" style="1" customWidth="1"/>
    <col min="2" max="3" width="9.140625" style="1"/>
    <col min="4" max="4" width="12.85546875" style="1" bestFit="1" customWidth="1"/>
    <col min="5" max="16384" width="9.140625" style="1"/>
  </cols>
  <sheetData>
    <row r="1" spans="1:1" ht="18" x14ac:dyDescent="0.25">
      <c r="A1" s="121" t="s">
        <v>117</v>
      </c>
    </row>
    <row r="2" spans="1:1" x14ac:dyDescent="0.2">
      <c r="A2" s="118"/>
    </row>
    <row r="3" spans="1:1" x14ac:dyDescent="0.2">
      <c r="A3" s="118" t="s">
        <v>123</v>
      </c>
    </row>
    <row r="4" spans="1:1" x14ac:dyDescent="0.2">
      <c r="A4" s="118"/>
    </row>
    <row r="5" spans="1:1" x14ac:dyDescent="0.2">
      <c r="A5" s="118"/>
    </row>
    <row r="6" spans="1:1" x14ac:dyDescent="0.2">
      <c r="A6" s="118"/>
    </row>
    <row r="7" spans="1:1" x14ac:dyDescent="0.2">
      <c r="A7" s="118"/>
    </row>
    <row r="8" spans="1:1" x14ac:dyDescent="0.2">
      <c r="A8" s="118"/>
    </row>
    <row r="9" spans="1:1" x14ac:dyDescent="0.2">
      <c r="A9" s="118"/>
    </row>
    <row r="10" spans="1:1" x14ac:dyDescent="0.2">
      <c r="A10" s="118"/>
    </row>
    <row r="11" spans="1:1" x14ac:dyDescent="0.2">
      <c r="A11" s="118"/>
    </row>
    <row r="12" spans="1:1" ht="19.5" x14ac:dyDescent="0.35">
      <c r="A12" s="119" t="s">
        <v>114</v>
      </c>
    </row>
    <row r="13" spans="1:1" ht="15" x14ac:dyDescent="0.2">
      <c r="A13" s="119" t="s">
        <v>79</v>
      </c>
    </row>
    <row r="14" spans="1:1" ht="15" x14ac:dyDescent="0.2">
      <c r="A14" s="119" t="s">
        <v>83</v>
      </c>
    </row>
    <row r="15" spans="1:1" ht="19.5" x14ac:dyDescent="0.35">
      <c r="A15" s="119" t="s">
        <v>115</v>
      </c>
    </row>
    <row r="16" spans="1:1" ht="19.5" x14ac:dyDescent="0.35">
      <c r="A16" s="119" t="s">
        <v>116</v>
      </c>
    </row>
    <row r="17" spans="1:1" ht="15.75" thickBot="1" x14ac:dyDescent="0.25">
      <c r="A17" s="120" t="s">
        <v>80</v>
      </c>
    </row>
  </sheetData>
  <pageMargins left="0.90551181102362199" right="0.51181102362204722" top="0.74803149606299213" bottom="0.74803149606299213" header="0.31496062992125984" footer="0.31496062992125984"/>
  <pageSetup paperSize="9" orientation="portrait" verticalDpi="597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6</vt:i4>
      </vt:variant>
    </vt:vector>
  </HeadingPairs>
  <TitlesOfParts>
    <vt:vector size="13" baseType="lpstr">
      <vt:lpstr>1.1 ORÇ. EQUIPE ELÉTRICA</vt:lpstr>
      <vt:lpstr>1.2CRONOGRAMA FISICO FINANCEIRO</vt:lpstr>
      <vt:lpstr>1.3 RESUMO EQUIPE</vt:lpstr>
      <vt:lpstr>1.4 ENCARGOS SOCIAIS</vt:lpstr>
      <vt:lpstr>1.5 BDI</vt:lpstr>
      <vt:lpstr>1.6 DEPRECIAÇÃO</vt:lpstr>
      <vt:lpstr>1.7 REMUNERAÇÃO DE CAPITAL</vt:lpstr>
      <vt:lpstr>AbaDeprec</vt:lpstr>
      <vt:lpstr>AbaRemun</vt:lpstr>
      <vt:lpstr>'1.1 ORÇ. EQUIPE ELÉTRICA'!Area_de_impressao</vt:lpstr>
      <vt:lpstr>'1.4 ENCARGOS SOCIAIS'!Area_de_impressao</vt:lpstr>
      <vt:lpstr>'1.5 BDI'!Area_de_impressao</vt:lpstr>
      <vt:lpstr>'1.1 ORÇ. EQUIPE ELÉTRICA'!Titulos_de_impressao</vt:lpstr>
    </vt:vector>
  </TitlesOfParts>
  <Company>dmlu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de Custos Coleta e Transporte RSU</dc:title>
  <dc:creator>Flavia Burmeister Martins</dc:creator>
  <cp:lastModifiedBy>Eveline Schulz Heps</cp:lastModifiedBy>
  <cp:lastPrinted>2023-02-07T18:35:56Z</cp:lastPrinted>
  <dcterms:created xsi:type="dcterms:W3CDTF">2000-12-13T10:02:50Z</dcterms:created>
  <dcterms:modified xsi:type="dcterms:W3CDTF">2023-03-03T11:14:49Z</dcterms:modified>
</cp:coreProperties>
</file>