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icitacon\Processos\2024\PE 035\"/>
    </mc:Choice>
  </mc:AlternateContent>
  <bookViews>
    <workbookView xWindow="0" yWindow="0" windowWidth="28800" windowHeight="12315" tabRatio="802"/>
  </bookViews>
  <sheets>
    <sheet name="Transporte rejeitos" sheetId="11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</sheets>
  <definedNames>
    <definedName name="_xlnm._FilterDatabase" localSheetId="0" hidden="1">'Transporte rejeitos'!$B$1:$B$285</definedName>
    <definedName name="AbaDeprec">'5. Depreciação'!$A$1</definedName>
    <definedName name="AbaRemun">'6.Remuneração de capital'!$A$1</definedName>
    <definedName name="_xlnm.Print_Area" localSheetId="1">'2.Encargos Sociais'!$A$1:$C$36</definedName>
    <definedName name="_xlnm.Print_Area" localSheetId="0">'Transporte rejeitos'!$A$1:$G$258</definedName>
    <definedName name="_xlnm.Print_Titles" localSheetId="0">'Transporte rejeitos'!$1:$4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9" i="11" l="1"/>
  <c r="H172" i="11"/>
  <c r="H56" i="11" l="1"/>
  <c r="H55" i="11"/>
  <c r="H58" i="11"/>
  <c r="F220" i="11"/>
  <c r="E195" i="11"/>
  <c r="E187" i="11"/>
  <c r="D194" i="11"/>
  <c r="D192" i="11"/>
  <c r="E193" i="11" s="1"/>
  <c r="D190" i="11"/>
  <c r="E191" i="11" s="1"/>
  <c r="D188" i="11"/>
  <c r="E189" i="11" s="1"/>
  <c r="D186" i="11"/>
  <c r="D184" i="11"/>
  <c r="H211" i="11"/>
  <c r="F238" i="11"/>
  <c r="G240" i="11" s="1"/>
  <c r="F174" i="11"/>
  <c r="G241" i="11" l="1"/>
  <c r="E185" i="11"/>
  <c r="D50" i="11"/>
  <c r="D151" i="11" l="1"/>
  <c r="E175" i="11"/>
  <c r="F175" i="11" s="1"/>
  <c r="E173" i="11"/>
  <c r="F24" i="11"/>
  <c r="F233" i="11"/>
  <c r="D229" i="11"/>
  <c r="F229" i="11" s="1"/>
  <c r="E230" i="11" s="1"/>
  <c r="F230" i="11" s="1"/>
  <c r="F223" i="11"/>
  <c r="F222" i="11"/>
  <c r="F219" i="11"/>
  <c r="F218" i="11"/>
  <c r="F217" i="11"/>
  <c r="F216" i="11"/>
  <c r="F215" i="11"/>
  <c r="D214" i="11"/>
  <c r="F214" i="11" s="1"/>
  <c r="D206" i="11"/>
  <c r="F206" i="11" s="1"/>
  <c r="F204" i="11"/>
  <c r="F200" i="11"/>
  <c r="G201" i="11" s="1"/>
  <c r="D195" i="11"/>
  <c r="F195" i="11" s="1"/>
  <c r="D193" i="11"/>
  <c r="F189" i="11"/>
  <c r="D187" i="11"/>
  <c r="F187" i="11" s="1"/>
  <c r="F185" i="11"/>
  <c r="D191" i="11"/>
  <c r="F179" i="11"/>
  <c r="D172" i="11"/>
  <c r="F172" i="11" s="1"/>
  <c r="D171" i="11"/>
  <c r="F171" i="11" s="1"/>
  <c r="D170" i="11"/>
  <c r="D163" i="11"/>
  <c r="F157" i="11"/>
  <c r="D155" i="11"/>
  <c r="F149" i="11"/>
  <c r="D147" i="11"/>
  <c r="F141" i="11"/>
  <c r="D139" i="11"/>
  <c r="F133" i="11"/>
  <c r="F124" i="11"/>
  <c r="D123" i="11"/>
  <c r="F119" i="11"/>
  <c r="D115" i="11"/>
  <c r="F111" i="11"/>
  <c r="E114" i="11" s="1"/>
  <c r="F114" i="11" s="1"/>
  <c r="E115" i="11" s="1"/>
  <c r="D107" i="11"/>
  <c r="F103" i="11"/>
  <c r="D143" i="11" s="1"/>
  <c r="D99" i="11"/>
  <c r="D98" i="11"/>
  <c r="F95" i="11"/>
  <c r="F84" i="11"/>
  <c r="F83" i="11"/>
  <c r="F82" i="11"/>
  <c r="F81" i="11"/>
  <c r="F80" i="11"/>
  <c r="F79" i="11"/>
  <c r="F78" i="11"/>
  <c r="F70" i="11"/>
  <c r="G71" i="11" s="1"/>
  <c r="F66" i="11"/>
  <c r="G67" i="11" s="1"/>
  <c r="F11" i="11" s="1"/>
  <c r="F62" i="11"/>
  <c r="G63" i="11" s="1"/>
  <c r="F10" i="11" s="1"/>
  <c r="B62" i="11"/>
  <c r="B66" i="11" s="1"/>
  <c r="E45" i="11"/>
  <c r="E44" i="11"/>
  <c r="F42" i="11"/>
  <c r="B36" i="11"/>
  <c r="B35" i="11"/>
  <c r="G32" i="11"/>
  <c r="B31" i="11"/>
  <c r="B25" i="11"/>
  <c r="B23" i="11"/>
  <c r="B22" i="11"/>
  <c r="B21" i="11"/>
  <c r="B20" i="11"/>
  <c r="B19" i="11"/>
  <c r="B18" i="11"/>
  <c r="B17" i="11"/>
  <c r="B16" i="11"/>
  <c r="B15" i="11"/>
  <c r="B14" i="11"/>
  <c r="B13" i="11"/>
  <c r="B11" i="11"/>
  <c r="B10" i="11"/>
  <c r="B9" i="11"/>
  <c r="B8" i="11"/>
  <c r="B7" i="11"/>
  <c r="F170" i="11" l="1"/>
  <c r="F173" i="11"/>
  <c r="F85" i="11"/>
  <c r="G86" i="11" s="1"/>
  <c r="G87" i="11" s="1"/>
  <c r="D159" i="11"/>
  <c r="E122" i="11"/>
  <c r="F122" i="11" s="1"/>
  <c r="E123" i="11" s="1"/>
  <c r="F123" i="11" s="1"/>
  <c r="F125" i="11" s="1"/>
  <c r="E126" i="11" s="1"/>
  <c r="F191" i="11"/>
  <c r="F45" i="11"/>
  <c r="F44" i="11"/>
  <c r="G224" i="11"/>
  <c r="G225" i="11" s="1"/>
  <c r="E106" i="11"/>
  <c r="F106" i="11" s="1"/>
  <c r="E107" i="11" s="1"/>
  <c r="F107" i="11" s="1"/>
  <c r="F108" i="11" s="1"/>
  <c r="F115" i="11"/>
  <c r="F116" i="11" s="1"/>
  <c r="F193" i="11"/>
  <c r="D152" i="11"/>
  <c r="E153" i="11" s="1"/>
  <c r="F153" i="11" s="1"/>
  <c r="F154" i="11" s="1"/>
  <c r="E207" i="11"/>
  <c r="F207" i="11" s="1"/>
  <c r="E208" i="11" s="1"/>
  <c r="F208" i="11" s="1"/>
  <c r="G209" i="11" s="1"/>
  <c r="F20" i="11"/>
  <c r="F12" i="11"/>
  <c r="F58" i="11"/>
  <c r="E98" i="11"/>
  <c r="F98" i="11" s="1"/>
  <c r="E99" i="11" s="1"/>
  <c r="F99" i="11" s="1"/>
  <c r="F100" i="11" s="1"/>
  <c r="D231" i="11"/>
  <c r="F231" i="11" s="1"/>
  <c r="E232" i="11" s="1"/>
  <c r="F232" i="11" s="1"/>
  <c r="G233" i="11" s="1"/>
  <c r="G234" i="11" s="1"/>
  <c r="G59" i="11" l="1"/>
  <c r="F9" i="11" s="1"/>
  <c r="E178" i="11"/>
  <c r="F178" i="11" s="1"/>
  <c r="G179" i="11" s="1"/>
  <c r="F18" i="11" s="1"/>
  <c r="G197" i="11"/>
  <c r="F22" i="11"/>
  <c r="F13" i="11"/>
  <c r="E117" i="11"/>
  <c r="F117" i="11" s="1"/>
  <c r="G118" i="11" s="1"/>
  <c r="E109" i="11"/>
  <c r="F109" i="11" s="1"/>
  <c r="G110" i="11" s="1"/>
  <c r="D160" i="11"/>
  <c r="E161" i="11" s="1"/>
  <c r="F161" i="11" s="1"/>
  <c r="F162" i="11" s="1"/>
  <c r="D144" i="11"/>
  <c r="E145" i="11" s="1"/>
  <c r="F145" i="11" s="1"/>
  <c r="E46" i="11"/>
  <c r="F46" i="11" s="1"/>
  <c r="D136" i="11"/>
  <c r="E137" i="11" s="1"/>
  <c r="F137" i="11" s="1"/>
  <c r="F138" i="11" s="1"/>
  <c r="F126" i="11"/>
  <c r="G127" i="11" s="1"/>
  <c r="F23" i="11"/>
  <c r="E101" i="11"/>
  <c r="F101" i="11" s="1"/>
  <c r="G102" i="11" s="1"/>
  <c r="F21" i="11"/>
  <c r="E155" i="11"/>
  <c r="F155" i="11" s="1"/>
  <c r="G156" i="11" s="1"/>
  <c r="F19" i="11" l="1"/>
  <c r="E196" i="11"/>
  <c r="F146" i="11"/>
  <c r="E147" i="11" s="1"/>
  <c r="F147" i="11" s="1"/>
  <c r="G148" i="11" s="1"/>
  <c r="E48" i="11"/>
  <c r="F48" i="11" s="1"/>
  <c r="F49" i="11" s="1"/>
  <c r="E50" i="11" s="1"/>
  <c r="E163" i="11"/>
  <c r="F163" i="11" s="1"/>
  <c r="G164" i="11" s="1"/>
  <c r="E139" i="11"/>
  <c r="F139" i="11" s="1"/>
  <c r="G140" i="11" s="1"/>
  <c r="G129" i="11"/>
  <c r="G166" i="11" l="1"/>
  <c r="G210" i="11" s="1"/>
  <c r="F16" i="11"/>
  <c r="F17" i="11" l="1"/>
  <c r="F15" i="11" s="1"/>
  <c r="C17" i="8"/>
  <c r="C9" i="4"/>
  <c r="C14" i="4" s="1"/>
  <c r="F7" i="4"/>
  <c r="E7" i="4"/>
  <c r="D7" i="4"/>
  <c r="C14" i="8"/>
  <c r="C30" i="5"/>
  <c r="C25" i="5"/>
  <c r="C28" i="8" s="1"/>
  <c r="C24" i="5"/>
  <c r="F14" i="11" l="1"/>
  <c r="C27" i="8"/>
  <c r="G24" i="5"/>
  <c r="C35" i="5"/>
  <c r="E33" i="5"/>
  <c r="D33" i="5" s="1"/>
  <c r="D34" i="5" s="1"/>
  <c r="C34" i="5" s="1"/>
  <c r="C24" i="8" s="1"/>
  <c r="C32" i="8" s="1"/>
  <c r="C26" i="8" l="1"/>
  <c r="C25" i="8"/>
  <c r="K31" i="5"/>
  <c r="K32" i="5" s="1"/>
  <c r="K33" i="5" s="1"/>
  <c r="K34" i="5" s="1"/>
  <c r="K35" i="5" s="1"/>
  <c r="K36" i="5" s="1"/>
  <c r="K37" i="5" s="1"/>
  <c r="C16" i="8"/>
  <c r="C22" i="8" s="1"/>
  <c r="C31" i="8" s="1"/>
  <c r="C33" i="8" s="1"/>
  <c r="F33" i="5"/>
  <c r="G33" i="5" s="1"/>
  <c r="C33" i="5"/>
  <c r="C29" i="8" l="1"/>
  <c r="C34" i="8" s="1"/>
  <c r="G34" i="5"/>
  <c r="G28" i="5"/>
  <c r="F50" i="11" l="1"/>
  <c r="F51" i="11" s="1"/>
  <c r="E52" i="11" s="1"/>
  <c r="F52" i="11" s="1"/>
  <c r="G53" i="11" s="1"/>
  <c r="G73" i="11" s="1"/>
  <c r="F8" i="11" l="1"/>
  <c r="G242" i="11" l="1"/>
  <c r="F7" i="11"/>
  <c r="E246" i="11" l="1"/>
  <c r="F246" i="11" s="1"/>
  <c r="G246" i="11" s="1"/>
  <c r="G248" i="11" s="1"/>
  <c r="G250" i="11" l="1"/>
  <c r="H250" i="11"/>
  <c r="F25" i="11"/>
  <c r="G252" i="11" l="1"/>
  <c r="H252" i="11"/>
  <c r="F26" i="11"/>
  <c r="G10" i="11" s="1"/>
  <c r="G18" i="11" l="1"/>
  <c r="G12" i="11"/>
  <c r="G9" i="11"/>
  <c r="G22" i="11"/>
  <c r="G15" i="11"/>
  <c r="G21" i="11"/>
  <c r="G16" i="11"/>
  <c r="G11" i="11"/>
  <c r="G23" i="11"/>
  <c r="G25" i="11"/>
  <c r="G13" i="11"/>
  <c r="G8" i="11"/>
  <c r="G19" i="11"/>
  <c r="G20" i="11"/>
  <c r="G24" i="11"/>
  <c r="G17" i="11"/>
  <c r="G14" i="11"/>
  <c r="G7" i="11"/>
  <c r="G26" i="11" l="1"/>
</calcChain>
</file>

<file path=xl/comments1.xml><?xml version="1.0" encoding="utf-8"?>
<comments xmlns="http://schemas.openxmlformats.org/spreadsheetml/2006/main">
  <authors>
    <author>Clauber Bridi</author>
  </authors>
  <commentList>
    <comment ref="B5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2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E43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D44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D45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B46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D48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D50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D52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E56" authorId="0" shape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D57" authorId="0" shape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E58" authorId="0" shape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E62" authorId="0" shape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E66" authorId="0" shape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E70" authorId="0" shapeId="0">
      <text>
        <r>
          <rPr>
            <sz val="9"/>
            <color indexed="81"/>
            <rFont val="Tahoma"/>
            <family val="2"/>
          </rPr>
          <t>Informar o valor mensal do auxilio  conforme Convenção Coletiva da categoria</t>
        </r>
      </text>
    </comment>
    <comment ref="D7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7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8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8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8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8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E84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E95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D96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D97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1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E103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D104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D105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9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E111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D112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D113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D114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7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E119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D120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D121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D122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4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D126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D129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E133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D134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5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D142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0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8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6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E171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E172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E174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E175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C181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D184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E184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D186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E186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D190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E190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D192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E192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D194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E194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E200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D204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E204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D205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E206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D207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D214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E21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D215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E21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D219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E21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D222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23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E22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B227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9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E231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E238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D246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2.xml><?xml version="1.0" encoding="utf-8"?>
<comments xmlns="http://schemas.openxmlformats.org/spreadsheetml/2006/main">
  <authors>
    <author>Jorge Mesquita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Jorge Mesquita:</t>
        </r>
        <r>
          <rPr>
            <sz val="9"/>
            <color indexed="81"/>
            <rFont val="Tahoma"/>
            <family val="2"/>
          </rPr>
          <t xml:space="preserve">
Criar um tipo de arredondamento.
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<sst xmlns="http://schemas.openxmlformats.org/spreadsheetml/2006/main" count="526" uniqueCount="309">
  <si>
    <t>hora</t>
  </si>
  <si>
    <t>Adicional de Insalubridade</t>
  </si>
  <si>
    <t>%</t>
  </si>
  <si>
    <t>Soma</t>
  </si>
  <si>
    <t>Encargos Sociais</t>
  </si>
  <si>
    <t>Total do Efetivo</t>
  </si>
  <si>
    <t>homem</t>
  </si>
  <si>
    <t>mês</t>
  </si>
  <si>
    <t>vale</t>
  </si>
  <si>
    <t>unidade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</si>
  <si>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</si>
  <si>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</si>
  <si>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</si>
  <si>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</si>
  <si>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</si>
  <si>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</si>
  <si>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</si>
  <si>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</si>
  <si>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</si>
  <si>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</si>
  <si>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</si>
  <si>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</si>
  <si>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</si>
  <si>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Pá de Concha</t>
  </si>
  <si>
    <t>Vassoura</t>
  </si>
  <si>
    <t>Calça</t>
  </si>
  <si>
    <t>Camiseta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</si>
  <si>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</si>
  <si>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</si>
  <si>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</si>
  <si>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</si>
  <si>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</si>
  <si>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</si>
  <si>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</si>
  <si>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</si>
  <si>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</si>
  <si>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</si>
  <si>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</si>
  <si>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</si>
  <si>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</si>
  <si>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1. Mão-de-obra</t>
  </si>
  <si>
    <t>par</t>
  </si>
  <si>
    <t>frasco 120g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</si>
  <si>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</si>
  <si>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</si>
  <si>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</si>
  <si>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</si>
  <si>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</si>
  <si>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</si>
  <si>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</si>
  <si>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</si>
  <si>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</si>
  <si>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</si>
  <si>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</si>
  <si>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</si>
  <si>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</si>
  <si>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</si>
  <si>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</si>
  <si>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</si>
  <si>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</si>
  <si>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</si>
  <si>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</si>
  <si>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Custo de recapagem</t>
  </si>
  <si>
    <t>Recipiente térmico para água (5L)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</si>
  <si>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</si>
  <si>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</si>
  <si>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</si>
  <si>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</si>
  <si>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</si>
  <si>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</si>
  <si>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</si>
  <si>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</si>
  <si>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</si>
  <si>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</si>
  <si>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</si>
  <si>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</si>
  <si>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</si>
  <si>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</si>
  <si>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</si>
  <si>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Vale Transporte</t>
  </si>
  <si>
    <t>Dias Trabalhados por mês</t>
  </si>
  <si>
    <t>dia</t>
  </si>
  <si>
    <t>Quantitativos</t>
  </si>
  <si>
    <t>anos</t>
  </si>
  <si>
    <t>Custo de aquisição do compactador</t>
  </si>
  <si>
    <t>i = taxa de juros do mercado (sugere-se adotar a taxa SELIC)</t>
  </si>
  <si>
    <t>n = vida útil do bem em anos</t>
  </si>
  <si>
    <t>Im = investimento médio</t>
  </si>
  <si>
    <t>Custo de manutenção dos caminhões</t>
  </si>
  <si>
    <t>Quilometragem mensal</t>
  </si>
  <si>
    <t>R$/km rodado</t>
  </si>
  <si>
    <t>Número de recapagens por pneu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</si>
  <si>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</si>
  <si>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</si>
  <si>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</si>
  <si>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</si>
  <si>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</si>
  <si>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</si>
  <si>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</si>
  <si>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</si>
  <si>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</si>
  <si>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</si>
  <si>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</si>
  <si>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</si>
  <si>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</si>
  <si>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Rotatividade</t>
  </si>
  <si>
    <t>Demitidos s/ Justa Causa em relação ao Estoque Médio</t>
  </si>
  <si>
    <t>Dias ano</t>
  </si>
  <si>
    <t>Estoque Médio</t>
  </si>
  <si>
    <t>Multa FGTS</t>
  </si>
  <si>
    <t>Fração de tempo para gozo férias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</si>
  <si>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</si>
  <si>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</si>
  <si>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</si>
  <si>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</si>
  <si>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</si>
  <si>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</si>
  <si>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</si>
  <si>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</si>
  <si>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</si>
  <si>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</si>
  <si>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</si>
  <si>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</si>
  <si>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</si>
  <si>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</si>
  <si>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</si>
  <si>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</si>
  <si>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</si>
  <si>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</si>
  <si>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</si>
  <si>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</si>
  <si>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</si>
  <si>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</si>
  <si>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</si>
  <si>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</si>
  <si>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</si>
  <si>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</si>
  <si>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</si>
  <si>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</si>
  <si>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</si>
  <si>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</si>
  <si>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</si>
  <si>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</si>
  <si>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</si>
  <si>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</si>
  <si>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</si>
  <si>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</si>
  <si>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</si>
  <si>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</si>
  <si>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</si>
  <si>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</si>
  <si>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</si>
  <si>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</si>
  <si>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</si>
  <si>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</si>
  <si>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</si>
  <si>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</si>
  <si>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</si>
  <si>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Grupo A sobre aviso prévio indenizado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</si>
  <si>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</si>
  <si>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</si>
  <si>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</si>
  <si>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</si>
  <si>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</si>
  <si>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</si>
  <si>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</si>
  <si>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</si>
  <si>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</si>
  <si>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</si>
  <si>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Higienização de uniformes e EPIs</t>
  </si>
  <si>
    <t>Descrição do Item</t>
  </si>
  <si>
    <t>Orçamento Sintético</t>
  </si>
  <si>
    <t>Rio Grande do Sul  - Coleta de Resíduos Não-Perigosos - CNAE 38114</t>
  </si>
  <si>
    <t xml:space="preserve">1. Acesse o Portal do CAGED no link http://bi.mte.gov.br/cagedestabelecimento/pages/consulta.xhtml </t>
  </si>
  <si>
    <t>Para preencher esta planilha siga os passos 1 a 5:</t>
  </si>
  <si>
    <t>Idade do veículo (ano)</t>
  </si>
  <si>
    <t>Valor do veículo proposto (V0)</t>
  </si>
  <si>
    <t>Taxa de juros anual nominal</t>
  </si>
  <si>
    <t>Base de cálculo da Insalubridade</t>
  </si>
  <si>
    <t>Piso da categoria (1)</t>
  </si>
  <si>
    <t>Salário mínimo nacional (2)</t>
  </si>
  <si>
    <t>Descanso Semanal Remunerado (DSR) - hora extra</t>
  </si>
  <si>
    <t>C2</t>
  </si>
  <si>
    <t>B3</t>
  </si>
  <si>
    <t>Implantação dos equipamentos de monitoramento</t>
  </si>
  <si>
    <t>Manutenção dos equipamentos de monitoramento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</si>
  <si>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</si>
  <si>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</si>
  <si>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</si>
  <si>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</si>
  <si>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</si>
  <si>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</si>
  <si>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</si>
  <si>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</si>
  <si>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</si>
  <si>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</si>
  <si>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</si>
  <si>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</si>
  <si>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</si>
  <si>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</si>
  <si>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</si>
  <si>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</si>
  <si>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1/3 de férias (dias)</t>
  </si>
  <si>
    <t>Férias (dias)</t>
  </si>
  <si>
    <t>13º Salário (dias)</t>
  </si>
  <si>
    <t>Referência estudo TCE</t>
  </si>
  <si>
    <t>Rotatividade temporal (meses)</t>
  </si>
  <si>
    <t>Fórmula de cálculo da remuneração de capital:</t>
  </si>
  <si>
    <t>Total por Motorista</t>
  </si>
  <si>
    <t>2. Na Especificação da Consulta, selecione "Demonstrativo por período" e informe as competências relativas ao período Inicial e Final (últimos 12 meses)</t>
  </si>
  <si>
    <t>Durabilidade (meses)</t>
  </si>
  <si>
    <t>Custo com consumos/km rodado</t>
  </si>
  <si>
    <t>Consumo</t>
  </si>
  <si>
    <t>Total por veículo</t>
  </si>
  <si>
    <t>Total da frota</t>
  </si>
  <si>
    <t>Estoque recuperado início do Período 01-09-2016</t>
  </si>
  <si>
    <t>Estoque recuperado final do Período 31-08-2017</t>
  </si>
  <si>
    <t>Variação Emprego Absoluta de 01-09-2016 a 31-08-2017</t>
  </si>
  <si>
    <t>i</t>
  </si>
  <si>
    <t>Depreciação Média</t>
  </si>
  <si>
    <t>4. Ferramentas e Materiais de Consumo e Lavagem de Veículos</t>
  </si>
  <si>
    <t>Custo de arla 32 /km rodados</t>
  </si>
  <si>
    <t>Custo de óleo do motor/1000 km rodados</t>
  </si>
  <si>
    <t>Custo mensal com arla 32</t>
  </si>
  <si>
    <t>Custo mensal com óleo do motor</t>
  </si>
  <si>
    <t>Custo do jogo de pneus 275,80 R22,5</t>
  </si>
  <si>
    <r>
      <t>Custo jg. compl. + 3</t>
    </r>
    <r>
      <rPr>
        <sz val="10"/>
        <rFont val="Arial"/>
        <family val="2"/>
      </rPr>
      <t xml:space="preserve"> recap./ km rodado</t>
    </r>
  </si>
  <si>
    <t>Lavagem de veículos</t>
  </si>
  <si>
    <t>CUSTO MENSAL COM MONITORAMENTO DA FROTA (R$/mês)</t>
  </si>
  <si>
    <t>CUSTO MENSAL COM VEÍCULOS E EQUIPAMENTOS (R$/mês)</t>
  </si>
  <si>
    <t>CUSTO MENSAL COM FERRAMENTAS E MATERIAIS DE CONSUMO (R$/mês)</t>
  </si>
  <si>
    <t>CUSTO MENSAL COM UNIFORMES E EPIs (R$/mês)</t>
  </si>
  <si>
    <t>CUSTO MENSAL COM MÃO DE OBRA (R$/mês)</t>
  </si>
  <si>
    <t>1.1. Motorista Turno do Dia</t>
  </si>
  <si>
    <t>1.2. Vale Transporte</t>
  </si>
  <si>
    <t>1.3. Vale-refeição (diário)</t>
  </si>
  <si>
    <t>1.4. Auxílio Alimentação (mensal)</t>
  </si>
  <si>
    <t>1.5. Plano de Benefício Social Familiar</t>
  </si>
  <si>
    <t>1.5. Plano de Benefício Socila Familiar</t>
  </si>
  <si>
    <t>2.2. Uniformes e EPIs para motoristas</t>
  </si>
  <si>
    <t xml:space="preserve">Custo do Equipamento roll-on Roll-off </t>
  </si>
  <si>
    <t xml:space="preserve">Vida útil do Equipamento roll-on Roll-off </t>
  </si>
  <si>
    <t xml:space="preserve">Idade do veículo do Equipamento roll-on Roll-off </t>
  </si>
  <si>
    <t xml:space="preserve">Depreciação do chassi do Equipamento roll-on Roll-off </t>
  </si>
  <si>
    <t xml:space="preserve">Depreciação mensal do Equipamento roll-on Roll-off </t>
  </si>
  <si>
    <t>Custo do Reboque tipo Julieta</t>
  </si>
  <si>
    <t>Vida útil do Reboque tipo Julieta</t>
  </si>
  <si>
    <t xml:space="preserve">Idade do Reboque tipo Julieta </t>
  </si>
  <si>
    <t xml:space="preserve">Depreciação mensal do Reboque tipo Julieta </t>
  </si>
  <si>
    <t xml:space="preserve">Total do Reboque tipo Julieta </t>
  </si>
  <si>
    <t>Total do Equipamento roll-on Roll-off</t>
  </si>
  <si>
    <t xml:space="preserve">Depreciação do Reboque tipo Julieta </t>
  </si>
  <si>
    <t>Custo do chassi 6x2</t>
  </si>
  <si>
    <t>Vida útil do chassi 6x2</t>
  </si>
  <si>
    <t>Idade do veículo 6x2</t>
  </si>
  <si>
    <t>Depreciação do chassi 6x2</t>
  </si>
  <si>
    <t>Depreciação mensal veículos 6x2</t>
  </si>
  <si>
    <t>Total por veículo 6x2</t>
  </si>
  <si>
    <t>Custo de aquisição do chassi 6x2</t>
  </si>
  <si>
    <t xml:space="preserve">Custo de aquisição do Equipamento roll-on Roll-off </t>
  </si>
  <si>
    <t>Custo de aquisição do Reboque tipo Julieta</t>
  </si>
  <si>
    <t>Investimento médio total do chassi 6x2</t>
  </si>
  <si>
    <t>Remuneração mensal de capital do chassi 6x2</t>
  </si>
  <si>
    <t>IPVA do veículo chassi 6x2</t>
  </si>
  <si>
    <t>PREÇO POR TONELADA COLETADA  (R$/tonelada)</t>
  </si>
  <si>
    <t>Total depreciação</t>
  </si>
  <si>
    <t xml:space="preserve">Total Remuneração de capital </t>
  </si>
  <si>
    <t>Lona plástica para fechamento</t>
  </si>
  <si>
    <t>Cone para sinalização</t>
  </si>
  <si>
    <t>Placa de sinalização</t>
  </si>
  <si>
    <t>Publicidade (adesivos equipamentos</t>
  </si>
  <si>
    <t>Valor do Equipamento roll-on Roll-off  proposto (V0)</t>
  </si>
  <si>
    <t xml:space="preserve">Investimento médio total dodo Equipamento roll-on Roll-off </t>
  </si>
  <si>
    <t xml:space="preserve">Remuneração mensal de capital do Equipamento roll-on Roll-off </t>
  </si>
  <si>
    <t>Total por Equipamento roll-on Roll-off</t>
  </si>
  <si>
    <t>Valor do Reboque tipo Julieta proposto (V0)</t>
  </si>
  <si>
    <t>Investimento médio total do Reboque tipo Julieta</t>
  </si>
  <si>
    <t>Remuneração mensal de capital do Reboque tipo Julieta</t>
  </si>
  <si>
    <t>Total por Reboque tipo Julieta</t>
  </si>
  <si>
    <t>3.1.2 Remuneração do capital</t>
  </si>
  <si>
    <t>3.1.1 Depreciação</t>
  </si>
  <si>
    <t>Veículo Caminhão 6x2 + Equipamento roll-on Roll-off +Reboque tipo Julieta</t>
  </si>
  <si>
    <t>Vida útil da Caçamba com 30m³</t>
  </si>
  <si>
    <t xml:space="preserve">Idade da Caçamba com 30m³ </t>
  </si>
  <si>
    <t>Depreciação da Caçamba com 30m³</t>
  </si>
  <si>
    <t>Valor da Caçamba com 30m³ proposto (V0)</t>
  </si>
  <si>
    <t>Remuneração mensal de capital da Caçamba com 30m³</t>
  </si>
  <si>
    <t>Custo de aquisição do Contêiner - Caçamba Estacionária- 30m³</t>
  </si>
  <si>
    <t>Total do Contêiner - Caçamba Estacionária - 30m³</t>
  </si>
  <si>
    <t>Investimento médio total do Contêiner - Caçamba Estacionária - 30m³</t>
  </si>
  <si>
    <t>Contêiner - Caçamba Estacionária- 30m³</t>
  </si>
  <si>
    <t>QUANTIDADE MÉDIA DE RESÍDUOS TRANSPORTADOS POR MÊS</t>
  </si>
  <si>
    <t>Depreciação mensal da Caçamba com 30m³</t>
  </si>
  <si>
    <t>não fala na convenção</t>
  </si>
  <si>
    <t>7. Benefícios e Despesas Indiretas - BDI</t>
  </si>
  <si>
    <t>6.Adminsitração local</t>
  </si>
  <si>
    <t>1. Transporte de Resíduos Sólidos Urbanos- Rejeitos</t>
  </si>
  <si>
    <t>Conjunto orçado</t>
  </si>
  <si>
    <t>Licenciamento e Seguro obrigatório o Reboque tipo Julieta</t>
  </si>
  <si>
    <t>Seguro contra terceiros - Reboque tipo Julieta</t>
  </si>
  <si>
    <t>IPVA do Reboque Tipo Julieta</t>
  </si>
  <si>
    <t xml:space="preserve">Locação de edificação para garagem, vestiário, santario </t>
  </si>
  <si>
    <t>atualizado pelo IPCA</t>
  </si>
  <si>
    <t>MAGDA REZI CARVALHO</t>
  </si>
  <si>
    <t>Engª. Civil e de Segurança do Trabalho</t>
  </si>
  <si>
    <t>CREA 124.572-D</t>
  </si>
  <si>
    <t>___________________________________________________</t>
  </si>
  <si>
    <t>Luva de proteção</t>
  </si>
  <si>
    <t>Campo Bom, 10 de junho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</si>
</sst>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0.0000"/>
    <numFmt numFmtId="170" formatCode="_(* #,##0.0000_);_(* \(#,##0.00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0"/>
      <color theme="3" tint="-0.249977111117893"/>
      <name val="Arial"/>
      <family val="2"/>
    </font>
    <font>
      <b/>
      <sz val="12"/>
      <color theme="4" tint="-0.499984740745262"/>
      <name val="Arial"/>
      <family val="2"/>
    </font>
    <font>
      <sz val="14"/>
      <name val="Arial"/>
      <family val="2"/>
    </font>
    <font>
      <b/>
      <sz val="10"/>
      <color theme="3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71">
    <xf numFmtId="0" fontId="0" fillId="0" borderId="0" xfId="0"/>
    <xf numFmtId="0" fontId="6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5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3" applyFont="1" applyAlignment="1">
      <alignment horizontal="center" vertical="center"/>
    </xf>
    <xf numFmtId="165" fontId="3" fillId="2" borderId="3" xfId="3" applyFont="1" applyFill="1" applyBorder="1" applyAlignment="1">
      <alignment horizontal="center" vertical="center"/>
    </xf>
    <xf numFmtId="165" fontId="3" fillId="2" borderId="3" xfId="3" applyFont="1" applyFill="1" applyBorder="1" applyAlignment="1">
      <alignment vertical="center"/>
    </xf>
    <xf numFmtId="165" fontId="3" fillId="0" borderId="0" xfId="3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165" fontId="3" fillId="0" borderId="0" xfId="3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3" applyFont="1" applyBorder="1" applyAlignment="1">
      <alignment vertical="center"/>
    </xf>
    <xf numFmtId="165" fontId="5" fillId="0" borderId="0" xfId="3" applyFont="1" applyAlignment="1">
      <alignment vertical="center"/>
    </xf>
    <xf numFmtId="165" fontId="4" fillId="0" borderId="0" xfId="3" applyFont="1" applyAlignment="1">
      <alignment vertical="center"/>
    </xf>
    <xf numFmtId="165" fontId="0" fillId="0" borderId="8" xfId="3" applyFont="1" applyBorder="1" applyAlignment="1">
      <alignment vertical="center"/>
    </xf>
    <xf numFmtId="165" fontId="3" fillId="0" borderId="9" xfId="3" applyFont="1" applyBorder="1" applyAlignment="1">
      <alignment horizontal="center" vertical="center"/>
    </xf>
    <xf numFmtId="165" fontId="3" fillId="0" borderId="0" xfId="3" applyFont="1" applyAlignment="1">
      <alignment vertical="center"/>
    </xf>
    <xf numFmtId="165" fontId="0" fillId="0" borderId="7" xfId="0" applyNumberFormat="1" applyBorder="1" applyAlignment="1">
      <alignment vertical="center"/>
    </xf>
    <xf numFmtId="4" fontId="0" fillId="0" borderId="7" xfId="0" applyNumberFormat="1" applyBorder="1" applyAlignment="1">
      <alignment horizontal="centerContinuous" vertical="center"/>
    </xf>
    <xf numFmtId="165" fontId="0" fillId="0" borderId="7" xfId="3" applyFont="1" applyBorder="1" applyAlignment="1">
      <alignment vertical="center"/>
    </xf>
    <xf numFmtId="165" fontId="3" fillId="0" borderId="10" xfId="3" applyFont="1" applyBorder="1" applyAlignment="1">
      <alignment horizontal="right" vertical="center"/>
    </xf>
    <xf numFmtId="165" fontId="0" fillId="0" borderId="11" xfId="3" applyFont="1" applyBorder="1" applyAlignment="1">
      <alignment vertical="center"/>
    </xf>
    <xf numFmtId="165" fontId="6" fillId="0" borderId="1" xfId="3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5" fontId="6" fillId="0" borderId="0" xfId="3" applyFont="1" applyFill="1" applyBorder="1" applyAlignment="1">
      <alignment horizontal="center" vertical="center"/>
    </xf>
    <xf numFmtId="10" fontId="0" fillId="0" borderId="12" xfId="2" applyNumberFormat="1" applyFont="1" applyBorder="1" applyAlignment="1">
      <alignment vertical="center"/>
    </xf>
    <xf numFmtId="165" fontId="6" fillId="0" borderId="0" xfId="3" applyFont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165" fontId="10" fillId="2" borderId="14" xfId="3" applyFont="1" applyFill="1" applyBorder="1" applyAlignment="1">
      <alignment horizontal="center" vertical="center"/>
    </xf>
    <xf numFmtId="165" fontId="10" fillId="2" borderId="15" xfId="3" applyFont="1" applyFill="1" applyBorder="1" applyAlignment="1">
      <alignment horizontal="center" vertical="center"/>
    </xf>
    <xf numFmtId="165" fontId="3" fillId="0" borderId="16" xfId="3" applyFont="1" applyBorder="1" applyAlignment="1">
      <alignment horizontal="center" vertical="center"/>
    </xf>
    <xf numFmtId="165" fontId="1" fillId="0" borderId="11" xfId="3" applyFont="1" applyBorder="1" applyAlignment="1">
      <alignment horizontal="left" vertical="center"/>
    </xf>
    <xf numFmtId="166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5" fontId="3" fillId="0" borderId="25" xfId="3" applyFont="1" applyBorder="1" applyAlignment="1">
      <alignment vertical="center"/>
    </xf>
    <xf numFmtId="4" fontId="3" fillId="0" borderId="26" xfId="0" applyNumberFormat="1" applyFont="1" applyBorder="1" applyAlignment="1">
      <alignment vertical="center"/>
    </xf>
    <xf numFmtId="165" fontId="6" fillId="0" borderId="16" xfId="3" applyFont="1" applyBorder="1" applyAlignment="1">
      <alignment vertical="center"/>
    </xf>
    <xf numFmtId="165" fontId="6" fillId="0" borderId="8" xfId="3" applyFont="1" applyBorder="1" applyAlignment="1">
      <alignment vertical="center"/>
    </xf>
    <xf numFmtId="0" fontId="0" fillId="0" borderId="8" xfId="0" applyBorder="1" applyAlignment="1">
      <alignment vertical="center"/>
    </xf>
    <xf numFmtId="1" fontId="6" fillId="0" borderId="9" xfId="3" applyNumberFormat="1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1" fontId="3" fillId="0" borderId="28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5" fontId="3" fillId="2" borderId="3" xfId="3" applyNumberFormat="1" applyFont="1" applyFill="1" applyBorder="1" applyAlignment="1">
      <alignment horizontal="center" vertical="center"/>
    </xf>
    <xf numFmtId="165" fontId="6" fillId="0" borderId="1" xfId="3" applyFont="1" applyFill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66" fontId="6" fillId="0" borderId="1" xfId="3" applyNumberFormat="1" applyFont="1" applyBorder="1" applyAlignment="1">
      <alignment horizontal="center" vertical="center"/>
    </xf>
    <xf numFmtId="166" fontId="6" fillId="0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3" applyFont="1" applyBorder="1" applyAlignment="1">
      <alignment horizontal="center" vertical="center"/>
    </xf>
    <xf numFmtId="165" fontId="6" fillId="0" borderId="2" xfId="3" applyFont="1" applyFill="1" applyBorder="1" applyAlignment="1">
      <alignment horizontal="center" vertical="center"/>
    </xf>
    <xf numFmtId="0" fontId="3" fillId="0" borderId="0" xfId="0" applyFont="1"/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165" fontId="10" fillId="2" borderId="30" xfId="3" applyFont="1" applyFill="1" applyBorder="1" applyAlignment="1">
      <alignment horizontal="center" vertical="center"/>
    </xf>
    <xf numFmtId="165" fontId="6" fillId="0" borderId="0" xfId="3" applyFont="1" applyFill="1" applyAlignment="1">
      <alignment vertical="center"/>
    </xf>
    <xf numFmtId="165" fontId="3" fillId="0" borderId="1" xfId="3" applyFont="1" applyFill="1" applyBorder="1" applyAlignment="1">
      <alignment horizontal="center" vertical="center"/>
    </xf>
    <xf numFmtId="165" fontId="3" fillId="0" borderId="32" xfId="3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6" fillId="0" borderId="0" xfId="3" applyFont="1" applyAlignment="1">
      <alignment horizontal="right" vertical="center"/>
    </xf>
    <xf numFmtId="165" fontId="3" fillId="2" borderId="6" xfId="3" applyFont="1" applyFill="1" applyBorder="1" applyAlignment="1">
      <alignment horizontal="center" vertical="center"/>
    </xf>
    <xf numFmtId="165" fontId="3" fillId="0" borderId="11" xfId="3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165" fontId="3" fillId="0" borderId="7" xfId="3" applyFont="1" applyBorder="1" applyAlignment="1">
      <alignment vertical="center"/>
    </xf>
    <xf numFmtId="10" fontId="3" fillId="0" borderId="12" xfId="2" applyNumberFormat="1" applyFont="1" applyBorder="1" applyAlignment="1">
      <alignment vertical="center"/>
    </xf>
    <xf numFmtId="165" fontId="3" fillId="0" borderId="35" xfId="3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5" fontId="6" fillId="0" borderId="36" xfId="3" applyFont="1" applyBorder="1" applyAlignment="1">
      <alignment vertical="center"/>
    </xf>
    <xf numFmtId="165" fontId="6" fillId="0" borderId="37" xfId="3" applyFont="1" applyBorder="1" applyAlignment="1">
      <alignment vertical="center"/>
    </xf>
    <xf numFmtId="165" fontId="6" fillId="0" borderId="38" xfId="3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1" fontId="6" fillId="0" borderId="34" xfId="3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Continuous" vertical="center"/>
    </xf>
    <xf numFmtId="4" fontId="6" fillId="0" borderId="0" xfId="0" applyNumberFormat="1" applyFont="1" applyBorder="1" applyAlignment="1">
      <alignment vertical="center"/>
    </xf>
    <xf numFmtId="10" fontId="6" fillId="0" borderId="12" xfId="2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0" fillId="0" borderId="35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5" fontId="0" fillId="0" borderId="0" xfId="3" applyFont="1" applyFill="1" applyBorder="1" applyAlignment="1">
      <alignment vertical="center"/>
    </xf>
    <xf numFmtId="165" fontId="0" fillId="0" borderId="36" xfId="3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166" fontId="3" fillId="0" borderId="0" xfId="3" applyNumberFormat="1" applyFont="1" applyBorder="1" applyAlignment="1">
      <alignment horizontal="center" vertical="center"/>
    </xf>
    <xf numFmtId="0" fontId="15" fillId="0" borderId="11" xfId="0" applyFont="1" applyBorder="1"/>
    <xf numFmtId="0" fontId="6" fillId="0" borderId="0" xfId="0" applyFont="1" applyBorder="1"/>
    <xf numFmtId="0" fontId="15" fillId="0" borderId="43" xfId="0" applyFont="1" applyBorder="1"/>
    <xf numFmtId="0" fontId="15" fillId="0" borderId="20" xfId="0" applyFont="1" applyBorder="1"/>
    <xf numFmtId="0" fontId="15" fillId="0" borderId="47" xfId="0" applyFont="1" applyBorder="1"/>
    <xf numFmtId="0" fontId="15" fillId="0" borderId="44" xfId="0" applyFont="1" applyBorder="1"/>
    <xf numFmtId="0" fontId="15" fillId="0" borderId="48" xfId="0" applyFont="1" applyBorder="1"/>
    <xf numFmtId="0" fontId="15" fillId="0" borderId="17" xfId="0" applyFont="1" applyBorder="1"/>
    <xf numFmtId="0" fontId="15" fillId="0" borderId="25" xfId="0" applyFont="1" applyBorder="1"/>
    <xf numFmtId="2" fontId="16" fillId="5" borderId="1" xfId="0" applyNumberFormat="1" applyFont="1" applyFill="1" applyBorder="1" applyAlignment="1">
      <alignment horizontal="right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2" fontId="16" fillId="5" borderId="33" xfId="0" applyNumberFormat="1" applyFont="1" applyFill="1" applyBorder="1" applyAlignment="1">
      <alignment horizontal="right" vertical="center"/>
    </xf>
    <xf numFmtId="0" fontId="16" fillId="0" borderId="2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0" fontId="16" fillId="0" borderId="17" xfId="0" applyNumberFormat="1" applyFont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10" fontId="20" fillId="0" borderId="17" xfId="0" applyNumberFormat="1" applyFont="1" applyBorder="1" applyAlignment="1">
      <alignment horizontal="right" vertical="center"/>
    </xf>
    <xf numFmtId="0" fontId="16" fillId="4" borderId="20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/>
    </xf>
    <xf numFmtId="10" fontId="20" fillId="4" borderId="17" xfId="0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6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16" fillId="0" borderId="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16" fillId="7" borderId="21" xfId="0" applyFont="1" applyFill="1" applyBorder="1" applyAlignment="1">
      <alignment horizontal="left" vertical="center"/>
    </xf>
    <xf numFmtId="0" fontId="20" fillId="7" borderId="33" xfId="0" applyFont="1" applyFill="1" applyBorder="1" applyAlignment="1">
      <alignment horizontal="left" vertical="center"/>
    </xf>
    <xf numFmtId="10" fontId="20" fillId="7" borderId="34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/>
    </xf>
    <xf numFmtId="10" fontId="20" fillId="0" borderId="0" xfId="0" applyNumberFormat="1" applyFont="1" applyFill="1" applyBorder="1" applyAlignment="1">
      <alignment horizontal="right" vertical="center"/>
    </xf>
    <xf numFmtId="0" fontId="22" fillId="3" borderId="0" xfId="0" applyFont="1" applyFill="1" applyBorder="1" applyAlignment="1">
      <alignment horizontal="left" vertical="center"/>
    </xf>
    <xf numFmtId="10" fontId="16" fillId="0" borderId="0" xfId="0" applyNumberFormat="1" applyFont="1" applyFill="1" applyBorder="1" applyAlignment="1">
      <alignment horizontal="right" vertical="center"/>
    </xf>
    <xf numFmtId="0" fontId="16" fillId="3" borderId="0" xfId="0" applyFont="1" applyFill="1" applyBorder="1" applyAlignment="1">
      <alignment horizontal="left" vertical="center"/>
    </xf>
    <xf numFmtId="10" fontId="16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left" vertical="center"/>
    </xf>
    <xf numFmtId="10" fontId="20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4" fillId="0" borderId="0" xfId="0" applyFont="1" applyBorder="1"/>
    <xf numFmtId="0" fontId="16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2" xfId="0" applyFont="1" applyBorder="1"/>
    <xf numFmtId="0" fontId="5" fillId="0" borderId="20" xfId="0" applyFont="1" applyBorder="1"/>
    <xf numFmtId="0" fontId="5" fillId="0" borderId="43" xfId="0" applyFont="1" applyBorder="1"/>
    <xf numFmtId="0" fontId="5" fillId="0" borderId="45" xfId="0" applyFont="1" applyBorder="1"/>
    <xf numFmtId="0" fontId="5" fillId="0" borderId="35" xfId="0" applyFont="1" applyBorder="1"/>
    <xf numFmtId="0" fontId="7" fillId="0" borderId="44" xfId="0" applyFont="1" applyBorder="1"/>
    <xf numFmtId="9" fontId="7" fillId="0" borderId="44" xfId="0" applyNumberFormat="1" applyFont="1" applyBorder="1"/>
    <xf numFmtId="0" fontId="7" fillId="0" borderId="35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20" xfId="2" applyFont="1" applyBorder="1"/>
    <xf numFmtId="9" fontId="5" fillId="0" borderId="1" xfId="2" applyFont="1" applyBorder="1" applyAlignment="1">
      <alignment horizontal="center"/>
    </xf>
    <xf numFmtId="9" fontId="5" fillId="0" borderId="17" xfId="2" applyFont="1" applyBorder="1"/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10" fontId="5" fillId="0" borderId="17" xfId="2" applyNumberFormat="1" applyFont="1" applyBorder="1"/>
    <xf numFmtId="0" fontId="5" fillId="0" borderId="2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0" borderId="17" xfId="0" applyNumberFormat="1" applyFont="1" applyFill="1" applyBorder="1" applyAlignment="1">
      <alignment horizontal="center" vertical="center"/>
    </xf>
    <xf numFmtId="0" fontId="5" fillId="0" borderId="17" xfId="0" applyFont="1" applyBorder="1"/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10" fontId="5" fillId="0" borderId="24" xfId="0" applyNumberFormat="1" applyFont="1" applyFill="1" applyBorder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/>
    </xf>
    <xf numFmtId="10" fontId="7" fillId="4" borderId="6" xfId="0" applyNumberFormat="1" applyFont="1" applyFill="1" applyBorder="1" applyAlignment="1">
      <alignment horizontal="center" vertical="center" wrapText="1"/>
    </xf>
    <xf numFmtId="10" fontId="5" fillId="0" borderId="17" xfId="2" applyNumberFormat="1" applyFont="1" applyBorder="1" applyAlignment="1">
      <alignment horizontal="right"/>
    </xf>
    <xf numFmtId="10" fontId="5" fillId="0" borderId="21" xfId="2" applyNumberFormat="1" applyFont="1" applyBorder="1" applyAlignment="1">
      <alignment horizontal="right"/>
    </xf>
    <xf numFmtId="10" fontId="5" fillId="0" borderId="33" xfId="2" applyNumberFormat="1" applyFont="1" applyBorder="1" applyAlignment="1">
      <alignment horizontal="right"/>
    </xf>
    <xf numFmtId="10" fontId="5" fillId="0" borderId="34" xfId="2" applyNumberFormat="1" applyFont="1" applyBorder="1" applyAlignment="1">
      <alignment horizontal="right"/>
    </xf>
    <xf numFmtId="0" fontId="6" fillId="0" borderId="50" xfId="0" applyFont="1" applyBorder="1"/>
    <xf numFmtId="0" fontId="17" fillId="0" borderId="50" xfId="0" applyFont="1" applyBorder="1" applyAlignment="1">
      <alignment horizontal="justify"/>
    </xf>
    <xf numFmtId="0" fontId="17" fillId="0" borderId="51" xfId="0" applyFont="1" applyBorder="1" applyAlignment="1">
      <alignment horizontal="justify"/>
    </xf>
    <xf numFmtId="0" fontId="14" fillId="8" borderId="49" xfId="0" applyFont="1" applyFill="1" applyBorder="1" applyAlignment="1">
      <alignment horizontal="center"/>
    </xf>
    <xf numFmtId="168" fontId="3" fillId="0" borderId="1" xfId="0" applyNumberFormat="1" applyFon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3" fillId="0" borderId="33" xfId="0" applyNumberFormat="1" applyFont="1" applyBorder="1" applyAlignment="1">
      <alignment vertical="center"/>
    </xf>
    <xf numFmtId="165" fontId="3" fillId="0" borderId="8" xfId="3" applyFont="1" applyBorder="1" applyAlignment="1">
      <alignment vertical="center"/>
    </xf>
    <xf numFmtId="165" fontId="3" fillId="0" borderId="4" xfId="3" applyFont="1" applyBorder="1" applyAlignment="1">
      <alignment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169" fontId="15" fillId="0" borderId="44" xfId="0" applyNumberFormat="1" applyFont="1" applyBorder="1"/>
    <xf numFmtId="169" fontId="7" fillId="0" borderId="44" xfId="0" applyNumberFormat="1" applyFont="1" applyBorder="1"/>
    <xf numFmtId="169" fontId="7" fillId="0" borderId="28" xfId="0" applyNumberFormat="1" applyFont="1" applyBorder="1"/>
    <xf numFmtId="0" fontId="5" fillId="0" borderId="20" xfId="0" applyFont="1" applyFill="1" applyBorder="1"/>
    <xf numFmtId="165" fontId="1" fillId="0" borderId="1" xfId="3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10" fontId="5" fillId="0" borderId="0" xfId="0" applyNumberFormat="1" applyFont="1" applyAlignment="1">
      <alignment horizontal="center"/>
    </xf>
    <xf numFmtId="165" fontId="1" fillId="0" borderId="0" xfId="3" applyFont="1" applyAlignment="1">
      <alignment vertical="center"/>
    </xf>
    <xf numFmtId="165" fontId="3" fillId="0" borderId="24" xfId="3" applyFont="1" applyBorder="1" applyAlignment="1">
      <alignment horizontal="right" vertical="center"/>
    </xf>
    <xf numFmtId="1" fontId="6" fillId="0" borderId="42" xfId="3" applyNumberFormat="1" applyFont="1" applyBorder="1" applyAlignment="1">
      <alignment horizontal="center" vertical="center"/>
    </xf>
    <xf numFmtId="1" fontId="3" fillId="0" borderId="27" xfId="3" applyNumberFormat="1" applyFont="1" applyBorder="1" applyAlignment="1">
      <alignment horizontal="center" vertical="center"/>
    </xf>
    <xf numFmtId="1" fontId="6" fillId="0" borderId="52" xfId="3" applyNumberFormat="1" applyFont="1" applyBorder="1" applyAlignment="1">
      <alignment horizontal="center" vertical="center"/>
    </xf>
    <xf numFmtId="165" fontId="3" fillId="0" borderId="36" xfId="3" applyFont="1" applyBorder="1" applyAlignment="1">
      <alignment horizontal="right" vertical="center"/>
    </xf>
    <xf numFmtId="165" fontId="3" fillId="0" borderId="53" xfId="3" applyFont="1" applyBorder="1" applyAlignment="1">
      <alignment horizontal="right" vertical="center"/>
    </xf>
    <xf numFmtId="165" fontId="1" fillId="0" borderId="11" xfId="3" applyFont="1" applyBorder="1" applyAlignment="1">
      <alignment vertical="center"/>
    </xf>
    <xf numFmtId="165" fontId="3" fillId="0" borderId="5" xfId="3" applyFont="1" applyFill="1" applyBorder="1" applyAlignment="1">
      <alignment vertical="center"/>
    </xf>
    <xf numFmtId="165" fontId="1" fillId="0" borderId="1" xfId="3" applyNumberFormat="1" applyFont="1" applyFill="1" applyBorder="1" applyAlignment="1">
      <alignment horizontal="center" vertical="center"/>
    </xf>
    <xf numFmtId="166" fontId="6" fillId="0" borderId="1" xfId="3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3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65" fontId="3" fillId="0" borderId="7" xfId="3" applyFont="1" applyFill="1" applyBorder="1" applyAlignment="1">
      <alignment horizontal="center" vertical="center"/>
    </xf>
    <xf numFmtId="9" fontId="3" fillId="0" borderId="6" xfId="2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5" fontId="6" fillId="0" borderId="0" xfId="3" applyFont="1" applyFill="1" applyAlignment="1">
      <alignment horizontal="right" vertical="center"/>
    </xf>
    <xf numFmtId="3" fontId="6" fillId="0" borderId="1" xfId="0" applyNumberFormat="1" applyFont="1" applyFill="1" applyBorder="1" applyAlignment="1">
      <alignment vertical="center"/>
    </xf>
    <xf numFmtId="167" fontId="6" fillId="0" borderId="2" xfId="3" applyNumberFormat="1" applyFont="1" applyFill="1" applyBorder="1" applyAlignment="1">
      <alignment horizontal="center" vertical="center"/>
    </xf>
    <xf numFmtId="167" fontId="6" fillId="0" borderId="1" xfId="3" applyNumberFormat="1" applyFont="1" applyFill="1" applyBorder="1" applyAlignment="1">
      <alignment horizontal="left" vertical="center"/>
    </xf>
    <xf numFmtId="167" fontId="6" fillId="0" borderId="1" xfId="3" applyNumberFormat="1" applyFont="1" applyFill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left" vertical="center"/>
    </xf>
    <xf numFmtId="167" fontId="3" fillId="0" borderId="1" xfId="3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165" fontId="1" fillId="0" borderId="1" xfId="3" applyFont="1" applyFill="1" applyBorder="1" applyAlignment="1">
      <alignment horizontal="center" vertical="center"/>
    </xf>
    <xf numFmtId="165" fontId="1" fillId="0" borderId="1" xfId="3" applyFont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10" fontId="5" fillId="0" borderId="20" xfId="2" applyNumberFormat="1" applyFont="1" applyFill="1" applyBorder="1" applyAlignment="1">
      <alignment horizontal="right"/>
    </xf>
    <xf numFmtId="10" fontId="5" fillId="0" borderId="1" xfId="2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10" fontId="5" fillId="0" borderId="34" xfId="0" applyNumberFormat="1" applyFont="1" applyFill="1" applyBorder="1" applyAlignment="1">
      <alignment horizontal="center" vertical="center"/>
    </xf>
    <xf numFmtId="10" fontId="25" fillId="0" borderId="20" xfId="2" applyNumberFormat="1" applyFont="1" applyFill="1" applyBorder="1" applyAlignment="1">
      <alignment horizontal="right"/>
    </xf>
    <xf numFmtId="10" fontId="25" fillId="0" borderId="1" xfId="2" applyNumberFormat="1" applyFont="1" applyFill="1" applyBorder="1" applyAlignment="1">
      <alignment horizontal="center"/>
    </xf>
    <xf numFmtId="0" fontId="25" fillId="0" borderId="20" xfId="0" applyFont="1" applyFill="1" applyBorder="1" applyAlignment="1">
      <alignment horizontal="right"/>
    </xf>
    <xf numFmtId="0" fontId="25" fillId="0" borderId="1" xfId="0" applyFont="1" applyFill="1" applyBorder="1" applyAlignment="1">
      <alignment horizontal="center"/>
    </xf>
    <xf numFmtId="0" fontId="25" fillId="0" borderId="20" xfId="0" applyFont="1" applyFill="1" applyBorder="1"/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68" fontId="1" fillId="0" borderId="1" xfId="0" applyNumberFormat="1" applyFont="1" applyFill="1" applyBorder="1" applyAlignment="1">
      <alignment vertical="center"/>
    </xf>
    <xf numFmtId="168" fontId="0" fillId="0" borderId="1" xfId="0" applyNumberForma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5" fontId="3" fillId="0" borderId="11" xfId="3" applyFont="1" applyBorder="1" applyAlignment="1">
      <alignment horizontal="left" vertical="center"/>
    </xf>
    <xf numFmtId="165" fontId="3" fillId="0" borderId="0" xfId="3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165" fontId="6" fillId="0" borderId="2" xfId="3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165" fontId="10" fillId="2" borderId="1" xfId="3" applyFont="1" applyFill="1" applyBorder="1" applyAlignment="1">
      <alignment horizontal="center" vertical="center"/>
    </xf>
    <xf numFmtId="165" fontId="6" fillId="0" borderId="1" xfId="3" applyFont="1" applyBorder="1" applyAlignment="1">
      <alignment horizontal="right" vertical="center"/>
    </xf>
    <xf numFmtId="165" fontId="3" fillId="2" borderId="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6" fillId="0" borderId="0" xfId="3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65" fontId="3" fillId="0" borderId="6" xfId="3" applyFont="1" applyFill="1" applyBorder="1" applyAlignment="1">
      <alignment horizontal="center" vertical="center"/>
    </xf>
    <xf numFmtId="13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3" fontId="1" fillId="0" borderId="0" xfId="0" applyNumberFormat="1" applyFont="1" applyAlignment="1">
      <alignment vertical="center"/>
    </xf>
    <xf numFmtId="165" fontId="6" fillId="0" borderId="1" xfId="3" applyFont="1" applyFill="1" applyBorder="1" applyAlignment="1">
      <alignment horizontal="right" vertical="center"/>
    </xf>
    <xf numFmtId="170" fontId="6" fillId="0" borderId="0" xfId="3" applyNumberFormat="1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5" fillId="0" borderId="17" xfId="0" applyFont="1" applyFill="1" applyBorder="1"/>
    <xf numFmtId="0" fontId="5" fillId="0" borderId="17" xfId="0" applyFont="1" applyFill="1" applyBorder="1"/>
    <xf numFmtId="0" fontId="5" fillId="0" borderId="44" xfId="0" applyFont="1" applyFill="1" applyBorder="1"/>
    <xf numFmtId="0" fontId="5" fillId="0" borderId="12" xfId="0" applyFont="1" applyFill="1" applyBorder="1"/>
    <xf numFmtId="0" fontId="5" fillId="0" borderId="46" xfId="0" applyFont="1" applyFill="1" applyBorder="1"/>
    <xf numFmtId="0" fontId="5" fillId="0" borderId="36" xfId="0" applyFont="1" applyFill="1" applyBorder="1"/>
    <xf numFmtId="169" fontId="15" fillId="0" borderId="44" xfId="0" applyNumberFormat="1" applyFont="1" applyFill="1" applyBorder="1"/>
    <xf numFmtId="165" fontId="3" fillId="0" borderId="11" xfId="3" applyFont="1" applyBorder="1" applyAlignment="1">
      <alignment horizontal="left" vertical="center"/>
    </xf>
    <xf numFmtId="167" fontId="1" fillId="0" borderId="1" xfId="3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3" fontId="6" fillId="0" borderId="1" xfId="0" applyNumberFormat="1" applyFont="1" applyFill="1" applyBorder="1" applyAlignment="1">
      <alignment vertical="center"/>
    </xf>
    <xf numFmtId="165" fontId="3" fillId="0" borderId="0" xfId="3" applyFont="1" applyBorder="1" applyAlignment="1">
      <alignment horizontal="center" vertical="center"/>
    </xf>
    <xf numFmtId="165" fontId="6" fillId="0" borderId="54" xfId="3" applyFont="1" applyBorder="1" applyAlignment="1">
      <alignment vertical="center"/>
    </xf>
    <xf numFmtId="165" fontId="3" fillId="6" borderId="3" xfId="3" applyFont="1" applyFill="1" applyBorder="1" applyAlignment="1">
      <alignment horizontal="center" vertical="center"/>
    </xf>
    <xf numFmtId="165" fontId="3" fillId="6" borderId="6" xfId="3" applyFont="1" applyFill="1" applyBorder="1" applyAlignment="1">
      <alignment horizontal="center" vertical="center"/>
    </xf>
    <xf numFmtId="0" fontId="3" fillId="9" borderId="4" xfId="0" applyFont="1" applyFill="1" applyBorder="1" applyAlignment="1">
      <alignment vertical="center"/>
    </xf>
    <xf numFmtId="0" fontId="6" fillId="9" borderId="5" xfId="0" applyFont="1" applyFill="1" applyBorder="1" applyAlignment="1">
      <alignment vertical="center"/>
    </xf>
    <xf numFmtId="165" fontId="6" fillId="9" borderId="5" xfId="3" applyFont="1" applyFill="1" applyBorder="1" applyAlignment="1">
      <alignment vertical="center"/>
    </xf>
    <xf numFmtId="165" fontId="6" fillId="9" borderId="6" xfId="3" applyFont="1" applyFill="1" applyBorder="1" applyAlignment="1">
      <alignment vertical="center"/>
    </xf>
    <xf numFmtId="165" fontId="3" fillId="9" borderId="3" xfId="3" applyFont="1" applyFill="1" applyBorder="1" applyAlignment="1">
      <alignment vertical="center"/>
    </xf>
    <xf numFmtId="0" fontId="1" fillId="9" borderId="5" xfId="0" applyFont="1" applyFill="1" applyBorder="1" applyAlignment="1">
      <alignment vertical="center"/>
    </xf>
    <xf numFmtId="165" fontId="1" fillId="9" borderId="5" xfId="3" applyFont="1" applyFill="1" applyBorder="1" applyAlignment="1">
      <alignment vertical="center"/>
    </xf>
    <xf numFmtId="165" fontId="1" fillId="9" borderId="6" xfId="3" applyFont="1" applyFill="1" applyBorder="1" applyAlignment="1">
      <alignment vertical="center"/>
    </xf>
    <xf numFmtId="0" fontId="3" fillId="9" borderId="5" xfId="0" applyFont="1" applyFill="1" applyBorder="1" applyAlignment="1">
      <alignment vertical="center"/>
    </xf>
    <xf numFmtId="165" fontId="3" fillId="9" borderId="5" xfId="3" applyFont="1" applyFill="1" applyBorder="1" applyAlignment="1">
      <alignment vertical="center"/>
    </xf>
    <xf numFmtId="165" fontId="3" fillId="9" borderId="6" xfId="3" applyFont="1" applyFill="1" applyBorder="1" applyAlignment="1">
      <alignment vertical="center"/>
    </xf>
    <xf numFmtId="165" fontId="3" fillId="9" borderId="3" xfId="3" applyFont="1" applyFill="1" applyBorder="1" applyAlignment="1">
      <alignment horizontal="center" vertical="center"/>
    </xf>
    <xf numFmtId="165" fontId="3" fillId="9" borderId="4" xfId="3" applyFont="1" applyFill="1" applyBorder="1" applyAlignment="1">
      <alignment horizontal="left" vertical="center"/>
    </xf>
    <xf numFmtId="4" fontId="3" fillId="9" borderId="5" xfId="0" applyNumberFormat="1" applyFont="1" applyFill="1" applyBorder="1" applyAlignment="1">
      <alignment horizontal="centerContinuous" vertical="center"/>
    </xf>
    <xf numFmtId="164" fontId="3" fillId="9" borderId="31" xfId="0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165" fontId="10" fillId="2" borderId="10" xfId="3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165" fontId="6" fillId="4" borderId="5" xfId="3" applyFont="1" applyFill="1" applyBorder="1" applyAlignment="1">
      <alignment vertical="center"/>
    </xf>
    <xf numFmtId="165" fontId="6" fillId="4" borderId="6" xfId="3" applyFont="1" applyFill="1" applyBorder="1" applyAlignment="1">
      <alignment vertical="center"/>
    </xf>
    <xf numFmtId="165" fontId="3" fillId="4" borderId="3" xfId="3" applyFont="1" applyFill="1" applyBorder="1" applyAlignment="1">
      <alignment vertical="center"/>
    </xf>
    <xf numFmtId="0" fontId="6" fillId="0" borderId="55" xfId="0" applyFont="1" applyFill="1" applyBorder="1" applyAlignment="1">
      <alignment vertical="center"/>
    </xf>
    <xf numFmtId="165" fontId="6" fillId="0" borderId="55" xfId="3" applyFont="1" applyFill="1" applyBorder="1" applyAlignment="1">
      <alignment horizontal="right" vertical="center"/>
    </xf>
    <xf numFmtId="165" fontId="6" fillId="0" borderId="55" xfId="3" applyFont="1" applyFill="1" applyBorder="1" applyAlignment="1">
      <alignment vertical="center"/>
    </xf>
    <xf numFmtId="10" fontId="3" fillId="9" borderId="15" xfId="2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1" xfId="0" applyFont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3" fillId="10" borderId="4" xfId="0" applyFont="1" applyFill="1" applyBorder="1" applyAlignment="1">
      <alignment vertical="center"/>
    </xf>
    <xf numFmtId="0" fontId="1" fillId="10" borderId="5" xfId="0" applyFont="1" applyFill="1" applyBorder="1" applyAlignment="1">
      <alignment vertical="center"/>
    </xf>
    <xf numFmtId="165" fontId="1" fillId="10" borderId="5" xfId="3" applyFont="1" applyFill="1" applyBorder="1" applyAlignment="1">
      <alignment vertical="center"/>
    </xf>
    <xf numFmtId="165" fontId="1" fillId="10" borderId="6" xfId="3" applyFont="1" applyFill="1" applyBorder="1" applyAlignment="1">
      <alignment vertical="center"/>
    </xf>
    <xf numFmtId="165" fontId="3" fillId="10" borderId="3" xfId="3" applyFont="1" applyFill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165" fontId="4" fillId="6" borderId="4" xfId="3" applyFont="1" applyFill="1" applyBorder="1" applyAlignment="1">
      <alignment horizontal="center" vertical="center"/>
    </xf>
    <xf numFmtId="165" fontId="4" fillId="6" borderId="5" xfId="3" applyFont="1" applyFill="1" applyBorder="1" applyAlignment="1">
      <alignment horizontal="center" vertical="center"/>
    </xf>
    <xf numFmtId="165" fontId="4" fillId="6" borderId="6" xfId="3" applyFont="1" applyFill="1" applyBorder="1" applyAlignment="1">
      <alignment horizontal="center" vertical="center"/>
    </xf>
    <xf numFmtId="165" fontId="3" fillId="0" borderId="11" xfId="3" applyFont="1" applyBorder="1" applyAlignment="1">
      <alignment horizontal="left" vertical="center"/>
    </xf>
    <xf numFmtId="165" fontId="3" fillId="0" borderId="7" xfId="3" applyFont="1" applyBorder="1" applyAlignment="1">
      <alignment horizontal="left" vertical="center"/>
    </xf>
    <xf numFmtId="165" fontId="4" fillId="6" borderId="16" xfId="3" applyFont="1" applyFill="1" applyBorder="1" applyAlignment="1">
      <alignment horizontal="center" vertical="center"/>
    </xf>
    <xf numFmtId="165" fontId="4" fillId="6" borderId="8" xfId="3" applyFont="1" applyFill="1" applyBorder="1" applyAlignment="1">
      <alignment horizontal="center" vertical="center"/>
    </xf>
    <xf numFmtId="165" fontId="4" fillId="6" borderId="42" xfId="3" applyFont="1" applyFill="1" applyBorder="1" applyAlignment="1">
      <alignment horizontal="center" vertical="center"/>
    </xf>
    <xf numFmtId="165" fontId="3" fillId="0" borderId="35" xfId="3" applyFont="1" applyBorder="1" applyAlignment="1">
      <alignment horizontal="center" vertical="center"/>
    </xf>
    <xf numFmtId="165" fontId="3" fillId="0" borderId="0" xfId="3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4" fillId="0" borderId="0" xfId="3" applyFont="1" applyAlignment="1">
      <alignment horizontal="center"/>
    </xf>
    <xf numFmtId="165" fontId="5" fillId="0" borderId="0" xfId="3" applyFont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/>
    </xf>
    <xf numFmtId="0" fontId="14" fillId="8" borderId="4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9" fontId="7" fillId="0" borderId="18" xfId="2" applyFont="1" applyBorder="1" applyAlignment="1">
      <alignment horizontal="center"/>
    </xf>
    <xf numFmtId="9" fontId="7" fillId="0" borderId="19" xfId="2" applyFont="1" applyBorder="1" applyAlignment="1">
      <alignment horizontal="center"/>
    </xf>
    <xf numFmtId="9" fontId="7" fillId="0" borderId="9" xfId="2" applyFont="1" applyBorder="1" applyAlignment="1">
      <alignment horizontal="center"/>
    </xf>
    <xf numFmtId="0" fontId="4" fillId="8" borderId="22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colors>
    <mruColors>
      <color rgb="FFFFFFCC"/>
      <color rgb="FFCCFFFF"/>
      <color rgb="FF99FFCC"/>
      <color rgb="FFFFFF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518161</xdr:colOff>
      <xdr:row>1</xdr:row>
      <xdr:rowOff>193040</xdr:rowOff>
    </xdr:from>
    <xdr:to>
      <xdr:col>13</xdr:col>
      <xdr:colOff>341611</xdr:colOff>
      <xdr:row>16</xdr:row>
      <xdr:rowOff>20320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AEDF900E-8D3C-4F23-B32B-403FA4F6A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4881" y="396240"/>
          <a:ext cx="5716250" cy="2905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>
          <a:extLst>
            <a:ext uri="{FF2B5EF4-FFF2-40B4-BE49-F238E27FC236}">
              <a16:creationId xmlns:a16="http://schemas.microsoft.com/office/drawing/2014/main" xmlns="" id="{00000000-0008-0000-05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>
          <a:extLst>
            <a:ext uri="{FF2B5EF4-FFF2-40B4-BE49-F238E27FC236}">
              <a16:creationId xmlns:a16="http://schemas.microsoft.com/office/drawing/2014/main" xmlns="" id="{00000000-0008-0000-05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5"/>
  <sheetViews>
    <sheetView tabSelected="1" view="pageBreakPreview" topLeftCell="A161" zoomScaleNormal="100" zoomScaleSheetLayoutView="100" workbookViewId="0">
      <selection activeCell="B255" sqref="B255:G255"/>
    </sheetView>
  </sheetViews>
  <sheetFormatPr defaultColWidth="9.140625" defaultRowHeight="12.75" x14ac:dyDescent="0.2"/>
  <cols>
    <col min="1" max="1" width="2.140625" style="7" customWidth="1"/>
    <col min="2" max="2" width="60" style="7" customWidth="1"/>
    <col min="3" max="3" width="16" style="7" bestFit="1" customWidth="1"/>
    <col min="4" max="4" width="11.85546875" style="7" customWidth="1"/>
    <col min="5" max="5" width="14.7109375" style="8" customWidth="1"/>
    <col min="6" max="6" width="15.42578125" style="8" customWidth="1"/>
    <col min="7" max="7" width="13.28515625" style="8" customWidth="1"/>
    <col min="8" max="8" width="28.140625" style="8" customWidth="1"/>
    <col min="9" max="9" width="11.28515625" style="7" bestFit="1" customWidth="1"/>
    <col min="10" max="10" width="14.5703125" style="7" customWidth="1"/>
    <col min="11" max="11" width="13.42578125" style="7" customWidth="1"/>
    <col min="12" max="16384" width="9.140625" style="7"/>
  </cols>
  <sheetData>
    <row r="1" spans="2:8" s="2" customFormat="1" ht="16.5" customHeight="1" thickBot="1" x14ac:dyDescent="0.25">
      <c r="B1" s="5"/>
      <c r="C1" s="3"/>
      <c r="D1" s="3"/>
      <c r="E1" s="4"/>
      <c r="F1" s="4"/>
      <c r="G1" s="4"/>
      <c r="H1" s="4"/>
    </row>
    <row r="2" spans="2:8" s="6" customFormat="1" ht="18" x14ac:dyDescent="0.2">
      <c r="B2" s="335" t="s">
        <v>296</v>
      </c>
      <c r="C2" s="336"/>
      <c r="D2" s="336"/>
      <c r="E2" s="336"/>
      <c r="F2" s="336"/>
      <c r="G2" s="337"/>
      <c r="H2" s="26"/>
    </row>
    <row r="3" spans="2:8" s="6" customFormat="1" ht="21.75" customHeight="1" x14ac:dyDescent="0.2">
      <c r="B3" s="338" t="s">
        <v>37</v>
      </c>
      <c r="C3" s="339"/>
      <c r="D3" s="339"/>
      <c r="E3" s="339"/>
      <c r="F3" s="339"/>
      <c r="G3" s="340"/>
      <c r="H3" s="26"/>
    </row>
    <row r="4" spans="2:8" s="2" customFormat="1" ht="10.9" customHeight="1" thickBot="1" x14ac:dyDescent="0.25">
      <c r="B4" s="102"/>
      <c r="C4" s="103"/>
      <c r="D4" s="103"/>
      <c r="E4" s="104"/>
      <c r="F4" s="104"/>
      <c r="G4" s="105"/>
      <c r="H4" s="4"/>
    </row>
    <row r="5" spans="2:8" s="2" customFormat="1" ht="15.75" customHeight="1" thickBot="1" x14ac:dyDescent="0.25">
      <c r="B5" s="341" t="s">
        <v>171</v>
      </c>
      <c r="C5" s="342"/>
      <c r="D5" s="342"/>
      <c r="E5" s="342"/>
      <c r="F5" s="342"/>
      <c r="G5" s="343"/>
      <c r="H5" s="4"/>
    </row>
    <row r="6" spans="2:8" s="2" customFormat="1" ht="15.75" customHeight="1" x14ac:dyDescent="0.2">
      <c r="B6" s="47" t="s">
        <v>170</v>
      </c>
      <c r="C6" s="28"/>
      <c r="D6" s="28"/>
      <c r="E6" s="195"/>
      <c r="F6" s="76" t="s">
        <v>32</v>
      </c>
      <c r="G6" s="29" t="s">
        <v>2</v>
      </c>
      <c r="H6" s="4"/>
    </row>
    <row r="7" spans="2:8" s="9" customFormat="1" ht="15.75" customHeight="1" x14ac:dyDescent="0.2">
      <c r="B7" s="82" t="str">
        <f>B39</f>
        <v>1. Mão-de-obra</v>
      </c>
      <c r="C7" s="83"/>
      <c r="D7" s="84"/>
      <c r="E7" s="84"/>
      <c r="F7" s="192">
        <f>SUM(F8:F12)</f>
        <v>13748.56</v>
      </c>
      <c r="G7" s="85">
        <f t="shared" ref="G7:G25" si="0">IFERROR(F7/$F$26,0)</f>
        <v>0.20519999999999999</v>
      </c>
      <c r="H7" s="30"/>
    </row>
    <row r="8" spans="2:8" s="2" customFormat="1" ht="15.75" customHeight="1" x14ac:dyDescent="0.2">
      <c r="B8" s="35" t="str">
        <f>B40</f>
        <v>1.1. Motorista Turno do Dia</v>
      </c>
      <c r="C8" s="31"/>
      <c r="D8" s="33"/>
      <c r="E8" s="33"/>
      <c r="F8" s="193">
        <f>G53</f>
        <v>12492.86</v>
      </c>
      <c r="G8" s="41">
        <f t="shared" si="0"/>
        <v>0.1865</v>
      </c>
      <c r="H8" s="4"/>
    </row>
    <row r="9" spans="2:8" s="2" customFormat="1" ht="15.75" customHeight="1" x14ac:dyDescent="0.2">
      <c r="B9" s="35" t="str">
        <f>B54</f>
        <v>1.2. Vale Transporte</v>
      </c>
      <c r="C9" s="31"/>
      <c r="D9" s="33"/>
      <c r="E9" s="33"/>
      <c r="F9" s="193">
        <f>G59</f>
        <v>150.80000000000001</v>
      </c>
      <c r="G9" s="41">
        <f t="shared" si="0"/>
        <v>2.3E-3</v>
      </c>
      <c r="H9" s="4"/>
    </row>
    <row r="10" spans="2:8" s="2" customFormat="1" ht="15.75" customHeight="1" x14ac:dyDescent="0.2">
      <c r="B10" s="35" t="str">
        <f>B60</f>
        <v>1.3. Vale-refeição (diário)</v>
      </c>
      <c r="C10" s="31"/>
      <c r="D10" s="33"/>
      <c r="E10" s="33"/>
      <c r="F10" s="193">
        <f>G63</f>
        <v>832</v>
      </c>
      <c r="G10" s="41">
        <f t="shared" si="0"/>
        <v>1.24E-2</v>
      </c>
      <c r="H10" s="4"/>
    </row>
    <row r="11" spans="2:8" s="2" customFormat="1" ht="15.75" customHeight="1" x14ac:dyDescent="0.2">
      <c r="B11" s="35" t="str">
        <f>B64</f>
        <v>1.4. Auxílio Alimentação (mensal)</v>
      </c>
      <c r="C11" s="31"/>
      <c r="D11" s="33"/>
      <c r="E11" s="33"/>
      <c r="F11" s="193">
        <f>G67</f>
        <v>242.86</v>
      </c>
      <c r="G11" s="41">
        <f t="shared" si="0"/>
        <v>3.5999999999999999E-3</v>
      </c>
      <c r="H11" s="4"/>
    </row>
    <row r="12" spans="2:8" s="2" customFormat="1" ht="15.75" customHeight="1" x14ac:dyDescent="0.2">
      <c r="B12" s="225" t="s">
        <v>238</v>
      </c>
      <c r="C12" s="31"/>
      <c r="D12" s="33"/>
      <c r="E12" s="33"/>
      <c r="F12" s="193">
        <f>G71</f>
        <v>30.04</v>
      </c>
      <c r="G12" s="41">
        <f t="shared" si="0"/>
        <v>4.0000000000000002E-4</v>
      </c>
      <c r="H12" s="4"/>
    </row>
    <row r="13" spans="2:8" s="9" customFormat="1" ht="15.75" customHeight="1" x14ac:dyDescent="0.2">
      <c r="B13" s="344" t="str">
        <f>B75</f>
        <v>2. Uniformes e Equipamentos de Proteção Individual</v>
      </c>
      <c r="C13" s="345"/>
      <c r="D13" s="345"/>
      <c r="E13" s="84"/>
      <c r="F13" s="192">
        <f>G87</f>
        <v>443.3</v>
      </c>
      <c r="G13" s="85">
        <f t="shared" si="0"/>
        <v>6.6E-3</v>
      </c>
      <c r="H13" s="30"/>
    </row>
    <row r="14" spans="2:8" s="9" customFormat="1" ht="15.75" customHeight="1" x14ac:dyDescent="0.2">
      <c r="B14" s="261" t="str">
        <f>B89</f>
        <v>3. Veículos e Equipamentos</v>
      </c>
      <c r="C14" s="93"/>
      <c r="D14" s="84"/>
      <c r="E14" s="84"/>
      <c r="F14" s="192">
        <f>G210</f>
        <v>28522.98</v>
      </c>
      <c r="G14" s="85">
        <f t="shared" si="0"/>
        <v>0.42580000000000001</v>
      </c>
      <c r="H14" s="30"/>
    </row>
    <row r="15" spans="2:8" s="2" customFormat="1" ht="15.75" customHeight="1" x14ac:dyDescent="0.2">
      <c r="B15" s="48" t="str">
        <f>B90</f>
        <v>Veículo Caminhão 6x2 + Equipamento roll-on Roll-off +Reboque tipo Julieta</v>
      </c>
      <c r="C15" s="32"/>
      <c r="D15" s="33"/>
      <c r="E15" s="33"/>
      <c r="F15" s="258">
        <f>SUM(F16:F21)</f>
        <v>28522.98</v>
      </c>
      <c r="G15" s="95">
        <f t="shared" si="0"/>
        <v>0.42580000000000001</v>
      </c>
      <c r="H15" s="4"/>
    </row>
    <row r="16" spans="2:8" s="2" customFormat="1" ht="15.75" customHeight="1" x14ac:dyDescent="0.2">
      <c r="B16" s="48" t="str">
        <f>B93</f>
        <v>3.1.1 Depreciação</v>
      </c>
      <c r="C16" s="32"/>
      <c r="D16" s="33"/>
      <c r="E16" s="33"/>
      <c r="F16" s="259">
        <f>G129</f>
        <v>6984.96</v>
      </c>
      <c r="G16" s="95">
        <f t="shared" si="0"/>
        <v>0.1043</v>
      </c>
      <c r="H16" s="4"/>
    </row>
    <row r="17" spans="2:10" s="2" customFormat="1" ht="15.75" customHeight="1" x14ac:dyDescent="0.2">
      <c r="B17" s="48" t="str">
        <f>B131</f>
        <v>3.1.2 Remuneração do capital</v>
      </c>
      <c r="C17" s="32"/>
      <c r="D17" s="33"/>
      <c r="E17" s="33"/>
      <c r="F17" s="259">
        <f>G166</f>
        <v>8065.46</v>
      </c>
      <c r="G17" s="95">
        <f t="shared" si="0"/>
        <v>0.12039999999999999</v>
      </c>
      <c r="H17" s="4"/>
    </row>
    <row r="18" spans="2:10" s="2" customFormat="1" ht="15.75" customHeight="1" x14ac:dyDescent="0.2">
      <c r="B18" s="48" t="str">
        <f>B168</f>
        <v>3.1.3. Impostos e Seguros</v>
      </c>
      <c r="C18" s="32"/>
      <c r="D18" s="33"/>
      <c r="E18" s="33"/>
      <c r="F18" s="259">
        <f>G179</f>
        <v>1566.16</v>
      </c>
      <c r="G18" s="95">
        <f t="shared" si="0"/>
        <v>2.3400000000000001E-2</v>
      </c>
      <c r="H18" s="4"/>
      <c r="J18" s="325" t="s">
        <v>297</v>
      </c>
    </row>
    <row r="19" spans="2:10" s="2" customFormat="1" ht="15.75" customHeight="1" x14ac:dyDescent="0.2">
      <c r="B19" s="48" t="str">
        <f>B180</f>
        <v>3.1.4. Consumos</v>
      </c>
      <c r="C19" s="32"/>
      <c r="D19" s="33"/>
      <c r="E19" s="33"/>
      <c r="F19" s="259">
        <f>G197</f>
        <v>6640.48</v>
      </c>
      <c r="G19" s="95">
        <f t="shared" si="0"/>
        <v>9.9099999999999994E-2</v>
      </c>
      <c r="H19" s="4"/>
    </row>
    <row r="20" spans="2:10" s="2" customFormat="1" ht="15.75" customHeight="1" x14ac:dyDescent="0.2">
      <c r="B20" s="48" t="str">
        <f>B198</f>
        <v>3.1.5. Manutenção</v>
      </c>
      <c r="C20" s="32"/>
      <c r="D20" s="33"/>
      <c r="E20" s="33"/>
      <c r="F20" s="259">
        <f>G201</f>
        <v>2187.6799999999998</v>
      </c>
      <c r="G20" s="95">
        <f t="shared" si="0"/>
        <v>3.27E-2</v>
      </c>
      <c r="H20" s="4"/>
    </row>
    <row r="21" spans="2:10" s="2" customFormat="1" ht="15.75" customHeight="1" x14ac:dyDescent="0.2">
      <c r="B21" s="48" t="str">
        <f>B202</f>
        <v>3.1.6. Pneus</v>
      </c>
      <c r="C21" s="32"/>
      <c r="D21" s="33"/>
      <c r="E21" s="33"/>
      <c r="F21" s="193">
        <f>G209</f>
        <v>3078.24</v>
      </c>
      <c r="G21" s="95">
        <f t="shared" si="0"/>
        <v>4.5900000000000003E-2</v>
      </c>
      <c r="H21" s="4"/>
    </row>
    <row r="22" spans="2:10" s="9" customFormat="1" ht="15.75" customHeight="1" x14ac:dyDescent="0.2">
      <c r="B22" s="261" t="str">
        <f>B212</f>
        <v>4. Ferramentas e Materiais de Consumo e Lavagem de Veículos</v>
      </c>
      <c r="C22" s="93"/>
      <c r="D22" s="84"/>
      <c r="E22" s="84"/>
      <c r="F22" s="192">
        <f>G225</f>
        <v>4145.32</v>
      </c>
      <c r="G22" s="85">
        <f t="shared" si="0"/>
        <v>6.1899999999999997E-2</v>
      </c>
      <c r="H22" s="30"/>
    </row>
    <row r="23" spans="2:10" s="9" customFormat="1" ht="15.75" customHeight="1" x14ac:dyDescent="0.2">
      <c r="B23" s="261" t="str">
        <f>B227</f>
        <v>5. Monitoramento da Frota</v>
      </c>
      <c r="C23" s="93"/>
      <c r="D23" s="84"/>
      <c r="E23" s="84"/>
      <c r="F23" s="192">
        <f>G234</f>
        <v>395.83</v>
      </c>
      <c r="G23" s="85">
        <f t="shared" si="0"/>
        <v>5.8999999999999999E-3</v>
      </c>
      <c r="H23" s="30"/>
    </row>
    <row r="24" spans="2:10" s="9" customFormat="1" ht="15.75" customHeight="1" x14ac:dyDescent="0.2">
      <c r="B24" s="290" t="s">
        <v>295</v>
      </c>
      <c r="C24" s="93"/>
      <c r="D24" s="84"/>
      <c r="E24" s="84"/>
      <c r="F24" s="192">
        <f>G241</f>
        <v>5900</v>
      </c>
      <c r="G24" s="85">
        <f t="shared" ref="G24" si="1">IFERROR(F24/$F$26,0)</f>
        <v>8.8099999999999998E-2</v>
      </c>
      <c r="H24" s="30"/>
    </row>
    <row r="25" spans="2:10" s="9" customFormat="1" ht="15.75" customHeight="1" thickBot="1" x14ac:dyDescent="0.25">
      <c r="B25" s="261" t="str">
        <f>B244</f>
        <v>7. Benefícios e Despesas Indiretas - BDI</v>
      </c>
      <c r="C25" s="93"/>
      <c r="D25" s="84"/>
      <c r="E25" s="84"/>
      <c r="F25" s="194">
        <f>G248</f>
        <v>13836.5</v>
      </c>
      <c r="G25" s="85">
        <f t="shared" si="0"/>
        <v>0.20649999999999999</v>
      </c>
      <c r="H25" s="30"/>
    </row>
    <row r="26" spans="2:10" s="2" customFormat="1" ht="15.75" customHeight="1" thickBot="1" x14ac:dyDescent="0.25">
      <c r="B26" s="310" t="s">
        <v>199</v>
      </c>
      <c r="C26" s="311"/>
      <c r="D26" s="307"/>
      <c r="E26" s="307"/>
      <c r="F26" s="312">
        <f>F7+F13+F14+F22+F23+F25+F24</f>
        <v>66992.490000000005</v>
      </c>
      <c r="G26" s="324">
        <f>G7+G13+G14+G22+G23+G25+G24</f>
        <v>1</v>
      </c>
      <c r="H26" s="4"/>
    </row>
    <row r="28" spans="2:10" ht="13.5" thickBot="1" x14ac:dyDescent="0.25"/>
    <row r="29" spans="2:10" s="2" customFormat="1" ht="15" customHeight="1" x14ac:dyDescent="0.2">
      <c r="B29" s="346" t="s">
        <v>82</v>
      </c>
      <c r="C29" s="347"/>
      <c r="D29" s="347"/>
      <c r="E29" s="347"/>
      <c r="F29" s="347"/>
      <c r="G29" s="348"/>
      <c r="H29" s="4"/>
    </row>
    <row r="30" spans="2:10" s="2" customFormat="1" ht="15" customHeight="1" thickBot="1" x14ac:dyDescent="0.25">
      <c r="B30" s="349" t="s">
        <v>33</v>
      </c>
      <c r="C30" s="350"/>
      <c r="D30" s="350"/>
      <c r="E30" s="350"/>
      <c r="F30" s="223"/>
      <c r="G30" s="224" t="s">
        <v>34</v>
      </c>
      <c r="H30" s="4"/>
    </row>
    <row r="31" spans="2:10" s="2" customFormat="1" ht="15" customHeight="1" x14ac:dyDescent="0.2">
      <c r="B31" s="53" t="str">
        <f>+B40</f>
        <v>1.1. Motorista Turno do Dia</v>
      </c>
      <c r="C31" s="54"/>
      <c r="D31" s="54"/>
      <c r="E31" s="55"/>
      <c r="F31" s="220"/>
      <c r="G31" s="56">
        <v>2</v>
      </c>
      <c r="H31" s="4"/>
    </row>
    <row r="32" spans="2:10" s="2" customFormat="1" ht="15" customHeight="1" thickBot="1" x14ac:dyDescent="0.25">
      <c r="B32" s="51" t="s">
        <v>50</v>
      </c>
      <c r="C32" s="52"/>
      <c r="D32" s="52"/>
      <c r="E32" s="57"/>
      <c r="F32" s="221"/>
      <c r="G32" s="58">
        <f>SUM(G31:G31)</f>
        <v>2</v>
      </c>
      <c r="H32" s="4"/>
    </row>
    <row r="33" spans="2:8" s="2" customFormat="1" ht="15" customHeight="1" thickBot="1" x14ac:dyDescent="0.25">
      <c r="B33" s="86"/>
      <c r="C33" s="87"/>
      <c r="D33" s="42"/>
      <c r="E33" s="42"/>
      <c r="F33" s="88"/>
      <c r="G33" s="88"/>
      <c r="H33" s="4"/>
    </row>
    <row r="34" spans="2:8" s="2" customFormat="1" ht="15" customHeight="1" x14ac:dyDescent="0.2">
      <c r="B34" s="333" t="s">
        <v>48</v>
      </c>
      <c r="C34" s="334"/>
      <c r="D34" s="334"/>
      <c r="E34" s="334"/>
      <c r="F34" s="219"/>
      <c r="G34" s="34" t="s">
        <v>34</v>
      </c>
      <c r="H34" s="4"/>
    </row>
    <row r="35" spans="2:8" s="2" customFormat="1" ht="15" customHeight="1" thickBot="1" x14ac:dyDescent="0.25">
      <c r="B35" s="89" t="str">
        <f>B90</f>
        <v>Veículo Caminhão 6x2 + Equipamento roll-on Roll-off +Reboque tipo Julieta</v>
      </c>
      <c r="C35" s="90"/>
      <c r="D35" s="90"/>
      <c r="E35" s="91"/>
      <c r="F35" s="222"/>
      <c r="G35" s="92">
        <v>1</v>
      </c>
      <c r="H35" s="4"/>
    </row>
    <row r="36" spans="2:8" s="2" customFormat="1" ht="15" customHeight="1" thickBot="1" x14ac:dyDescent="0.25">
      <c r="B36" s="89" t="str">
        <f>B91</f>
        <v>Contêiner - Caçamba Estacionária- 30m³</v>
      </c>
      <c r="C36" s="90"/>
      <c r="D36" s="90"/>
      <c r="E36" s="91"/>
      <c r="F36" s="222"/>
      <c r="G36" s="92">
        <v>5</v>
      </c>
      <c r="H36" s="4"/>
    </row>
    <row r="37" spans="2:8" s="9" customFormat="1" ht="15.75" customHeight="1" thickBot="1" x14ac:dyDescent="0.25">
      <c r="B37" s="196" t="s">
        <v>168</v>
      </c>
      <c r="C37" s="234">
        <v>1</v>
      </c>
      <c r="D37" s="25"/>
      <c r="E37" s="24"/>
      <c r="F37" s="107"/>
      <c r="H37" s="30"/>
    </row>
    <row r="38" spans="2:8" s="2" customFormat="1" ht="15.75" customHeight="1" x14ac:dyDescent="0.2">
      <c r="B38" s="42"/>
      <c r="C38" s="42"/>
      <c r="D38" s="42"/>
      <c r="E38" s="39"/>
      <c r="F38" s="49"/>
      <c r="G38" s="7"/>
      <c r="H38" s="4"/>
    </row>
    <row r="39" spans="2:8" ht="15" customHeight="1" x14ac:dyDescent="0.2">
      <c r="B39" s="313" t="s">
        <v>40</v>
      </c>
    </row>
    <row r="40" spans="2:8" ht="13.5" thickBot="1" x14ac:dyDescent="0.25">
      <c r="B40" s="5" t="s">
        <v>233</v>
      </c>
    </row>
    <row r="41" spans="2:8" s="10" customFormat="1" ht="13.15" customHeight="1" thickBot="1" x14ac:dyDescent="0.25">
      <c r="B41" s="43" t="s">
        <v>55</v>
      </c>
      <c r="C41" s="44" t="s">
        <v>56</v>
      </c>
      <c r="D41" s="44" t="s">
        <v>34</v>
      </c>
      <c r="E41" s="45" t="s">
        <v>196</v>
      </c>
      <c r="F41" s="45" t="s">
        <v>57</v>
      </c>
      <c r="G41" s="46" t="s">
        <v>58</v>
      </c>
      <c r="H41" s="8"/>
    </row>
    <row r="42" spans="2:8" x14ac:dyDescent="0.2">
      <c r="B42" s="11" t="s">
        <v>179</v>
      </c>
      <c r="C42" s="12" t="s">
        <v>7</v>
      </c>
      <c r="D42" s="205">
        <v>1</v>
      </c>
      <c r="E42" s="69">
        <v>2698.72</v>
      </c>
      <c r="F42" s="13">
        <f>D42*E42</f>
        <v>2698.72</v>
      </c>
    </row>
    <row r="43" spans="2:8" x14ac:dyDescent="0.2">
      <c r="B43" s="11" t="s">
        <v>180</v>
      </c>
      <c r="C43" s="12" t="s">
        <v>7</v>
      </c>
      <c r="D43" s="205">
        <v>1</v>
      </c>
      <c r="E43" s="69">
        <v>1412</v>
      </c>
      <c r="F43" s="13"/>
    </row>
    <row r="44" spans="2:8" x14ac:dyDescent="0.2">
      <c r="B44" s="14" t="s">
        <v>28</v>
      </c>
      <c r="C44" s="15" t="s">
        <v>0</v>
      </c>
      <c r="D44" s="229">
        <v>8.56</v>
      </c>
      <c r="E44" s="61">
        <f>E42/220*2</f>
        <v>24.53</v>
      </c>
      <c r="F44" s="16">
        <f>D44*E44</f>
        <v>209.98</v>
      </c>
    </row>
    <row r="45" spans="2:8" x14ac:dyDescent="0.2">
      <c r="B45" s="14" t="s">
        <v>29</v>
      </c>
      <c r="C45" s="15" t="s">
        <v>0</v>
      </c>
      <c r="D45" s="229">
        <v>0</v>
      </c>
      <c r="E45" s="61">
        <f>E42/220*1.5</f>
        <v>18.399999999999999</v>
      </c>
      <c r="F45" s="16">
        <f>D45*E45</f>
        <v>0</v>
      </c>
    </row>
    <row r="46" spans="2:8" ht="13.15" customHeight="1" x14ac:dyDescent="0.2">
      <c r="B46" s="14" t="s">
        <v>181</v>
      </c>
      <c r="C46" s="15" t="s">
        <v>27</v>
      </c>
      <c r="D46" s="37"/>
      <c r="E46" s="61">
        <f>63/302*(SUM(F44:F45))</f>
        <v>43.8</v>
      </c>
      <c r="F46" s="16">
        <f>E46</f>
        <v>43.8</v>
      </c>
    </row>
    <row r="47" spans="2:8" x14ac:dyDescent="0.2">
      <c r="B47" s="14" t="s">
        <v>178</v>
      </c>
      <c r="C47" s="15"/>
      <c r="D47" s="78">
        <v>1</v>
      </c>
      <c r="E47" s="61"/>
      <c r="F47" s="16"/>
    </row>
    <row r="48" spans="2:8" x14ac:dyDescent="0.2">
      <c r="B48" s="14" t="s">
        <v>1</v>
      </c>
      <c r="C48" s="15" t="s">
        <v>2</v>
      </c>
      <c r="D48" s="206">
        <v>40</v>
      </c>
      <c r="E48" s="61">
        <f>IF(D47=2,SUM(F42:F46),IF(D47=1,(SUM(F42:F46))*E43/E42,0))</f>
        <v>1544.78</v>
      </c>
      <c r="F48" s="16">
        <f>D48*E48/100</f>
        <v>617.91</v>
      </c>
    </row>
    <row r="49" spans="1:10" s="9" customFormat="1" x14ac:dyDescent="0.2">
      <c r="B49" s="66" t="s">
        <v>3</v>
      </c>
      <c r="C49" s="77"/>
      <c r="D49" s="230"/>
      <c r="E49" s="231"/>
      <c r="F49" s="68">
        <f>SUM(F42:F48)</f>
        <v>3570.41</v>
      </c>
      <c r="G49" s="30"/>
      <c r="H49" s="30"/>
    </row>
    <row r="50" spans="1:10" x14ac:dyDescent="0.2">
      <c r="B50" s="14" t="s">
        <v>4</v>
      </c>
      <c r="C50" s="15" t="s">
        <v>2</v>
      </c>
      <c r="D50" s="61">
        <f>0.7495*100</f>
        <v>74.95</v>
      </c>
      <c r="E50" s="61">
        <f>F49</f>
        <v>3570.41</v>
      </c>
      <c r="F50" s="16">
        <f>E50*D50/100</f>
        <v>2676.02</v>
      </c>
    </row>
    <row r="51" spans="1:10" s="9" customFormat="1" x14ac:dyDescent="0.2">
      <c r="B51" s="66" t="s">
        <v>208</v>
      </c>
      <c r="C51" s="202"/>
      <c r="D51" s="232"/>
      <c r="E51" s="233"/>
      <c r="F51" s="68">
        <f>F50+F49</f>
        <v>6246.43</v>
      </c>
      <c r="G51" s="30"/>
      <c r="H51" s="30"/>
    </row>
    <row r="52" spans="1:10" ht="13.5" thickBot="1" x14ac:dyDescent="0.25">
      <c r="B52" s="14" t="s">
        <v>5</v>
      </c>
      <c r="C52" s="15" t="s">
        <v>6</v>
      </c>
      <c r="D52" s="206">
        <v>1</v>
      </c>
      <c r="E52" s="61">
        <f>F51</f>
        <v>6246.43</v>
      </c>
      <c r="F52" s="16">
        <f>E52*D52</f>
        <v>6246.43</v>
      </c>
    </row>
    <row r="53" spans="1:10" ht="13.5" thickBot="1" x14ac:dyDescent="0.25">
      <c r="E53" s="80" t="s">
        <v>167</v>
      </c>
      <c r="F53" s="36">
        <v>2</v>
      </c>
      <c r="G53" s="81">
        <f>F52*F53</f>
        <v>12492.86</v>
      </c>
    </row>
    <row r="54" spans="1:10" ht="13.5" thickBot="1" x14ac:dyDescent="0.25">
      <c r="B54" s="5" t="s">
        <v>234</v>
      </c>
      <c r="C54" s="63"/>
      <c r="E54" s="7"/>
      <c r="F54" s="7"/>
      <c r="H54" s="7"/>
    </row>
    <row r="55" spans="1:10" ht="13.5" thickBot="1" x14ac:dyDescent="0.25">
      <c r="B55" s="43" t="s">
        <v>55</v>
      </c>
      <c r="C55" s="44" t="s">
        <v>56</v>
      </c>
      <c r="D55" s="44" t="s">
        <v>34</v>
      </c>
      <c r="E55" s="45" t="s">
        <v>196</v>
      </c>
      <c r="F55" s="45" t="s">
        <v>57</v>
      </c>
      <c r="G55" s="46" t="s">
        <v>58</v>
      </c>
      <c r="H55" s="7">
        <f>3.9*0.06</f>
        <v>0.23400000000000001</v>
      </c>
    </row>
    <row r="56" spans="1:10" x14ac:dyDescent="0.2">
      <c r="A56" s="37"/>
      <c r="B56" s="14" t="s">
        <v>79</v>
      </c>
      <c r="C56" s="15" t="s">
        <v>27</v>
      </c>
      <c r="D56" s="228">
        <v>1</v>
      </c>
      <c r="E56" s="74">
        <v>3.9</v>
      </c>
      <c r="F56" s="16"/>
      <c r="H56" s="7">
        <f>H55-3.9</f>
        <v>-3.6659999999999999</v>
      </c>
    </row>
    <row r="57" spans="1:10" x14ac:dyDescent="0.2">
      <c r="B57" s="14" t="s">
        <v>80</v>
      </c>
      <c r="C57" s="15" t="s">
        <v>81</v>
      </c>
      <c r="D57" s="37">
        <v>26</v>
      </c>
      <c r="E57" s="61"/>
      <c r="F57" s="16"/>
      <c r="H57" s="7"/>
    </row>
    <row r="58" spans="1:10" ht="13.5" thickBot="1" x14ac:dyDescent="0.25">
      <c r="B58" s="11" t="s">
        <v>38</v>
      </c>
      <c r="C58" s="12" t="s">
        <v>8</v>
      </c>
      <c r="D58" s="65">
        <v>52</v>
      </c>
      <c r="E58" s="69">
        <v>1.45</v>
      </c>
      <c r="F58" s="13">
        <f>IFERROR(D58*E58,"-")</f>
        <v>75.400000000000006</v>
      </c>
      <c r="H58" s="7">
        <f>3.9*0.06</f>
        <v>0.23400000000000001</v>
      </c>
    </row>
    <row r="59" spans="1:10" ht="13.5" thickBot="1" x14ac:dyDescent="0.25">
      <c r="E59" s="80" t="s">
        <v>167</v>
      </c>
      <c r="F59" s="36">
        <v>2</v>
      </c>
      <c r="G59" s="20">
        <f>F59*F58</f>
        <v>150.80000000000001</v>
      </c>
      <c r="H59" s="7"/>
    </row>
    <row r="60" spans="1:10" ht="13.5" thickBot="1" x14ac:dyDescent="0.25">
      <c r="B60" s="5" t="s">
        <v>235</v>
      </c>
      <c r="G60" s="21"/>
      <c r="H60" s="7"/>
    </row>
    <row r="61" spans="1:10" ht="13.5" thickBot="1" x14ac:dyDescent="0.25">
      <c r="B61" s="43" t="s">
        <v>55</v>
      </c>
      <c r="C61" s="44" t="s">
        <v>56</v>
      </c>
      <c r="D61" s="44" t="s">
        <v>34</v>
      </c>
      <c r="E61" s="45" t="s">
        <v>196</v>
      </c>
      <c r="F61" s="45" t="s">
        <v>57</v>
      </c>
      <c r="G61" s="46" t="s">
        <v>58</v>
      </c>
      <c r="H61" s="7"/>
    </row>
    <row r="62" spans="1:10" ht="13.5" thickBot="1" x14ac:dyDescent="0.25">
      <c r="B62" s="14" t="str">
        <f>+B58</f>
        <v>Motorista</v>
      </c>
      <c r="C62" s="15" t="s">
        <v>9</v>
      </c>
      <c r="D62" s="65">
        <v>26</v>
      </c>
      <c r="E62" s="227">
        <v>16</v>
      </c>
      <c r="F62" s="212">
        <f>E62*D62</f>
        <v>416</v>
      </c>
      <c r="G62" s="21"/>
      <c r="H62" s="7"/>
      <c r="I62" s="62"/>
      <c r="J62" s="62"/>
    </row>
    <row r="63" spans="1:10" ht="13.5" thickBot="1" x14ac:dyDescent="0.25">
      <c r="B63" s="39"/>
      <c r="C63" s="260"/>
      <c r="E63" s="80" t="s">
        <v>167</v>
      </c>
      <c r="F63" s="36">
        <v>2</v>
      </c>
      <c r="G63" s="20">
        <f>SUM(F62:F62)*F63</f>
        <v>832</v>
      </c>
      <c r="H63" s="7"/>
      <c r="I63" s="62"/>
      <c r="J63" s="62"/>
    </row>
    <row r="64" spans="1:10" ht="13.5" thickBot="1" x14ac:dyDescent="0.25">
      <c r="B64" s="5" t="s">
        <v>236</v>
      </c>
      <c r="G64" s="21"/>
      <c r="H64" s="7"/>
    </row>
    <row r="65" spans="2:8" ht="13.5" thickBot="1" x14ac:dyDescent="0.25">
      <c r="B65" s="43" t="s">
        <v>55</v>
      </c>
      <c r="C65" s="44" t="s">
        <v>56</v>
      </c>
      <c r="D65" s="44" t="s">
        <v>34</v>
      </c>
      <c r="E65" s="45" t="s">
        <v>196</v>
      </c>
      <c r="F65" s="45" t="s">
        <v>57</v>
      </c>
      <c r="G65" s="46" t="s">
        <v>58</v>
      </c>
      <c r="H65" s="7"/>
    </row>
    <row r="66" spans="2:8" ht="13.5" thickBot="1" x14ac:dyDescent="0.25">
      <c r="B66" s="14" t="str">
        <f>+B62</f>
        <v>Motorista</v>
      </c>
      <c r="C66" s="15" t="s">
        <v>9</v>
      </c>
      <c r="D66" s="65">
        <v>1</v>
      </c>
      <c r="E66" s="227">
        <v>121.43</v>
      </c>
      <c r="F66" s="212">
        <f>E66*D66</f>
        <v>121.43</v>
      </c>
      <c r="G66" s="21"/>
      <c r="H66" s="7"/>
    </row>
    <row r="67" spans="2:8" ht="13.5" thickBot="1" x14ac:dyDescent="0.25">
      <c r="E67" s="80" t="s">
        <v>167</v>
      </c>
      <c r="F67" s="36">
        <v>2</v>
      </c>
      <c r="G67" s="20">
        <f>SUM(F66:F66)*F67</f>
        <v>242.86</v>
      </c>
      <c r="H67" s="7"/>
    </row>
    <row r="68" spans="2:8" ht="13.5" thickBot="1" x14ac:dyDescent="0.25">
      <c r="B68" s="5" t="s">
        <v>237</v>
      </c>
      <c r="G68" s="21"/>
      <c r="H68" s="7"/>
    </row>
    <row r="69" spans="2:8" ht="13.5" thickBot="1" x14ac:dyDescent="0.25">
      <c r="B69" s="43" t="s">
        <v>55</v>
      </c>
      <c r="C69" s="44" t="s">
        <v>56</v>
      </c>
      <c r="D69" s="44" t="s">
        <v>34</v>
      </c>
      <c r="E69" s="45" t="s">
        <v>196</v>
      </c>
      <c r="F69" s="45" t="s">
        <v>57</v>
      </c>
      <c r="G69" s="46" t="s">
        <v>58</v>
      </c>
      <c r="H69" s="7"/>
    </row>
    <row r="70" spans="2:8" ht="13.5" thickBot="1" x14ac:dyDescent="0.25">
      <c r="B70" s="213" t="s">
        <v>38</v>
      </c>
      <c r="C70" s="15" t="s">
        <v>9</v>
      </c>
      <c r="D70" s="65">
        <v>1</v>
      </c>
      <c r="E70" s="227">
        <v>15.02</v>
      </c>
      <c r="F70" s="212">
        <f>E70*D70</f>
        <v>15.02</v>
      </c>
      <c r="G70" s="21"/>
      <c r="H70" s="5" t="s">
        <v>293</v>
      </c>
    </row>
    <row r="71" spans="2:8" ht="13.5" thickBot="1" x14ac:dyDescent="0.25">
      <c r="E71" s="80" t="s">
        <v>167</v>
      </c>
      <c r="F71" s="36">
        <v>2</v>
      </c>
      <c r="G71" s="20">
        <f>SUM(F70:F70)*F71</f>
        <v>30.04</v>
      </c>
      <c r="H71" s="7"/>
    </row>
    <row r="72" spans="2:8" ht="13.5" thickBot="1" x14ac:dyDescent="0.25">
      <c r="E72" s="80"/>
      <c r="F72" s="42"/>
      <c r="G72" s="226"/>
      <c r="H72" s="7"/>
    </row>
    <row r="73" spans="2:8" ht="17.25" customHeight="1" thickBot="1" x14ac:dyDescent="0.25">
      <c r="B73" s="298" t="s">
        <v>232</v>
      </c>
      <c r="C73" s="306"/>
      <c r="D73" s="306"/>
      <c r="E73" s="307"/>
      <c r="F73" s="308"/>
      <c r="G73" s="302">
        <f>G71+G67+G63+G59+G53</f>
        <v>13748.56</v>
      </c>
      <c r="H73" s="216"/>
    </row>
    <row r="74" spans="2:8" ht="17.25" customHeight="1" x14ac:dyDescent="0.2"/>
    <row r="75" spans="2:8" ht="15.75" x14ac:dyDescent="0.2">
      <c r="B75" s="313" t="s">
        <v>39</v>
      </c>
      <c r="H75" s="7"/>
    </row>
    <row r="76" spans="2:8" ht="13.9" customHeight="1" thickBot="1" x14ac:dyDescent="0.25">
      <c r="B76" s="5" t="s">
        <v>239</v>
      </c>
    </row>
    <row r="77" spans="2:8" ht="24.75" thickBot="1" x14ac:dyDescent="0.25">
      <c r="B77" s="43" t="s">
        <v>55</v>
      </c>
      <c r="C77" s="44" t="s">
        <v>56</v>
      </c>
      <c r="D77" s="203" t="s">
        <v>210</v>
      </c>
      <c r="E77" s="45" t="s">
        <v>196</v>
      </c>
      <c r="F77" s="45" t="s">
        <v>57</v>
      </c>
      <c r="G77" s="46" t="s">
        <v>58</v>
      </c>
    </row>
    <row r="78" spans="2:8" x14ac:dyDescent="0.2">
      <c r="B78" s="274" t="s">
        <v>59</v>
      </c>
      <c r="C78" s="205" t="s">
        <v>9</v>
      </c>
      <c r="D78" s="277">
        <v>12</v>
      </c>
      <c r="E78" s="69">
        <v>122</v>
      </c>
      <c r="F78" s="69">
        <f>IFERROR(E78/D78,0)</f>
        <v>10.17</v>
      </c>
      <c r="G78" s="74"/>
      <c r="H78" s="218"/>
    </row>
    <row r="79" spans="2:8" x14ac:dyDescent="0.2">
      <c r="B79" s="275" t="s">
        <v>25</v>
      </c>
      <c r="C79" s="206" t="s">
        <v>9</v>
      </c>
      <c r="D79" s="277">
        <v>4</v>
      </c>
      <c r="E79" s="61">
        <v>54</v>
      </c>
      <c r="F79" s="69">
        <f t="shared" ref="F79:F83" si="2">IFERROR(E79/D79,0)</f>
        <v>13.5</v>
      </c>
      <c r="G79" s="74"/>
      <c r="H79" s="218"/>
    </row>
    <row r="80" spans="2:8" x14ac:dyDescent="0.2">
      <c r="B80" s="275" t="s">
        <v>26</v>
      </c>
      <c r="C80" s="206" t="s">
        <v>9</v>
      </c>
      <c r="D80" s="277">
        <v>3</v>
      </c>
      <c r="E80" s="61">
        <v>32.200000000000003</v>
      </c>
      <c r="F80" s="69">
        <f t="shared" si="2"/>
        <v>10.73</v>
      </c>
      <c r="G80" s="74"/>
      <c r="H80" s="218"/>
    </row>
    <row r="81" spans="1:8" x14ac:dyDescent="0.2">
      <c r="A81" s="37"/>
      <c r="B81" s="275" t="s">
        <v>61</v>
      </c>
      <c r="C81" s="206" t="s">
        <v>41</v>
      </c>
      <c r="D81" s="277">
        <v>2</v>
      </c>
      <c r="E81" s="61">
        <v>80</v>
      </c>
      <c r="F81" s="69">
        <f t="shared" si="2"/>
        <v>40</v>
      </c>
      <c r="G81" s="74"/>
      <c r="H81" s="218"/>
    </row>
    <row r="82" spans="1:8" x14ac:dyDescent="0.2">
      <c r="B82" s="275" t="s">
        <v>60</v>
      </c>
      <c r="C82" s="206" t="s">
        <v>9</v>
      </c>
      <c r="D82" s="277">
        <v>12</v>
      </c>
      <c r="E82" s="61">
        <v>130.19999999999999</v>
      </c>
      <c r="F82" s="69">
        <f t="shared" si="2"/>
        <v>10.85</v>
      </c>
      <c r="G82" s="74"/>
      <c r="H82" s="218"/>
    </row>
    <row r="83" spans="1:8" x14ac:dyDescent="0.2">
      <c r="B83" s="275" t="s">
        <v>54</v>
      </c>
      <c r="C83" s="206" t="s">
        <v>42</v>
      </c>
      <c r="D83" s="277">
        <v>3</v>
      </c>
      <c r="E83" s="61">
        <v>25.2</v>
      </c>
      <c r="F83" s="69">
        <f t="shared" si="2"/>
        <v>8.4</v>
      </c>
      <c r="G83" s="74"/>
      <c r="H83" s="218"/>
    </row>
    <row r="84" spans="1:8" x14ac:dyDescent="0.2">
      <c r="B84" s="275" t="s">
        <v>169</v>
      </c>
      <c r="C84" s="206" t="s">
        <v>92</v>
      </c>
      <c r="D84" s="278">
        <v>1</v>
      </c>
      <c r="E84" s="69">
        <v>128</v>
      </c>
      <c r="F84" s="61">
        <f t="shared" ref="F84" si="3">D84*E84</f>
        <v>128</v>
      </c>
      <c r="G84" s="74"/>
      <c r="H84" s="218"/>
    </row>
    <row r="85" spans="1:8" ht="13.5" thickBot="1" x14ac:dyDescent="0.25">
      <c r="B85" s="275" t="s">
        <v>5</v>
      </c>
      <c r="C85" s="206" t="s">
        <v>6</v>
      </c>
      <c r="D85" s="278">
        <v>1</v>
      </c>
      <c r="E85" s="61"/>
      <c r="F85" s="61">
        <f>SUM(F78:F84)</f>
        <v>221.65</v>
      </c>
      <c r="G85" s="74"/>
      <c r="H85" s="218"/>
    </row>
    <row r="86" spans="1:8" ht="13.5" thickBot="1" x14ac:dyDescent="0.25">
      <c r="B86" s="37"/>
      <c r="C86" s="321"/>
      <c r="D86" s="321"/>
      <c r="E86" s="322" t="s">
        <v>167</v>
      </c>
      <c r="F86" s="323">
        <v>2</v>
      </c>
      <c r="G86" s="276">
        <f>F85*F86</f>
        <v>443.3</v>
      </c>
      <c r="H86" s="7"/>
    </row>
    <row r="87" spans="1:8" ht="17.25" customHeight="1" thickBot="1" x14ac:dyDescent="0.25">
      <c r="B87" s="298" t="s">
        <v>231</v>
      </c>
      <c r="C87" s="299"/>
      <c r="D87" s="299"/>
      <c r="E87" s="300"/>
      <c r="F87" s="301"/>
      <c r="G87" s="309">
        <f>G86</f>
        <v>443.3</v>
      </c>
      <c r="H87" s="216"/>
    </row>
    <row r="88" spans="1:8" ht="11.25" customHeight="1" x14ac:dyDescent="0.2">
      <c r="B88" s="37"/>
      <c r="C88" s="37"/>
      <c r="D88" s="37"/>
      <c r="E88" s="74"/>
      <c r="F88" s="74"/>
      <c r="G88" s="74"/>
      <c r="H88" s="7"/>
    </row>
    <row r="89" spans="1:8" ht="15.75" x14ac:dyDescent="0.2">
      <c r="B89" s="313" t="s">
        <v>46</v>
      </c>
      <c r="H89" s="7"/>
    </row>
    <row r="90" spans="1:8" x14ac:dyDescent="0.2">
      <c r="B90" s="5" t="s">
        <v>281</v>
      </c>
      <c r="H90" s="7"/>
    </row>
    <row r="91" spans="1:8" x14ac:dyDescent="0.2">
      <c r="B91" s="282" t="s">
        <v>290</v>
      </c>
      <c r="H91" s="7"/>
    </row>
    <row r="92" spans="1:8" ht="11.25" customHeight="1" x14ac:dyDescent="0.2">
      <c r="B92" s="5"/>
      <c r="H92" s="7"/>
    </row>
    <row r="93" spans="1:8" ht="13.5" thickBot="1" x14ac:dyDescent="0.25">
      <c r="B93" s="5" t="s">
        <v>280</v>
      </c>
      <c r="H93" s="7"/>
    </row>
    <row r="94" spans="1:8" ht="13.5" thickBot="1" x14ac:dyDescent="0.25">
      <c r="B94" s="71" t="s">
        <v>55</v>
      </c>
      <c r="C94" s="72" t="s">
        <v>56</v>
      </c>
      <c r="D94" s="72" t="s">
        <v>34</v>
      </c>
      <c r="E94" s="73" t="s">
        <v>196</v>
      </c>
      <c r="F94" s="73" t="s">
        <v>57</v>
      </c>
      <c r="G94" s="46" t="s">
        <v>58</v>
      </c>
      <c r="H94" s="7"/>
    </row>
    <row r="95" spans="1:8" x14ac:dyDescent="0.2">
      <c r="B95" s="264" t="s">
        <v>258</v>
      </c>
      <c r="C95" s="15" t="s">
        <v>9</v>
      </c>
      <c r="D95" s="206">
        <v>1</v>
      </c>
      <c r="E95" s="244">
        <v>699065</v>
      </c>
      <c r="F95" s="16">
        <f>D95*E95</f>
        <v>699065</v>
      </c>
      <c r="H95" s="7"/>
    </row>
    <row r="96" spans="1:8" x14ac:dyDescent="0.2">
      <c r="B96" s="213" t="s">
        <v>253</v>
      </c>
      <c r="C96" s="15" t="s">
        <v>83</v>
      </c>
      <c r="D96" s="206">
        <v>10</v>
      </c>
      <c r="E96" s="61"/>
      <c r="F96" s="16"/>
      <c r="H96" s="7"/>
    </row>
    <row r="97" spans="2:11" x14ac:dyDescent="0.2">
      <c r="B97" s="213" t="s">
        <v>254</v>
      </c>
      <c r="C97" s="15" t="s">
        <v>83</v>
      </c>
      <c r="D97" s="206">
        <v>0</v>
      </c>
      <c r="E97" s="61"/>
      <c r="F97" s="16"/>
      <c r="G97" s="18"/>
      <c r="J97" s="62"/>
      <c r="K97" s="62"/>
    </row>
    <row r="98" spans="2:11" x14ac:dyDescent="0.2">
      <c r="B98" s="213" t="s">
        <v>255</v>
      </c>
      <c r="C98" s="15" t="s">
        <v>2</v>
      </c>
      <c r="D98" s="61">
        <f>IFERROR(VLOOKUP(D96,'5. Depreciação'!A3:B17,2,FALSE),0)</f>
        <v>65.180000000000007</v>
      </c>
      <c r="E98" s="61">
        <f>F95</f>
        <v>699065</v>
      </c>
      <c r="F98" s="16">
        <f>D98*E98/100</f>
        <v>455650.57</v>
      </c>
    </row>
    <row r="99" spans="2:11" x14ac:dyDescent="0.2">
      <c r="B99" s="66" t="s">
        <v>256</v>
      </c>
      <c r="C99" s="67" t="s">
        <v>7</v>
      </c>
      <c r="D99" s="235">
        <f>D96*12</f>
        <v>120</v>
      </c>
      <c r="E99" s="75">
        <f>IF(D97&lt;=D96,F98,0)</f>
        <v>455650.57</v>
      </c>
      <c r="F99" s="68">
        <f>IFERROR(E99/D99,0)</f>
        <v>3797.09</v>
      </c>
    </row>
    <row r="100" spans="2:11" x14ac:dyDescent="0.2">
      <c r="B100" s="66" t="s">
        <v>257</v>
      </c>
      <c r="C100" s="67"/>
      <c r="D100" s="235"/>
      <c r="E100" s="75"/>
      <c r="F100" s="68">
        <f>F99</f>
        <v>3797.09</v>
      </c>
    </row>
    <row r="101" spans="2:11" ht="13.5" thickBot="1" x14ac:dyDescent="0.25">
      <c r="B101" s="66" t="s">
        <v>214</v>
      </c>
      <c r="C101" s="67" t="s">
        <v>9</v>
      </c>
      <c r="D101" s="206">
        <v>1</v>
      </c>
      <c r="E101" s="75">
        <f>F100</f>
        <v>3797.09</v>
      </c>
      <c r="F101" s="68">
        <f>D101*E101</f>
        <v>3797.09</v>
      </c>
    </row>
    <row r="102" spans="2:11" ht="13.5" thickBot="1" x14ac:dyDescent="0.25">
      <c r="B102" s="271"/>
      <c r="C102" s="271"/>
      <c r="D102" s="271"/>
      <c r="E102" s="269" t="s">
        <v>167</v>
      </c>
      <c r="F102" s="36">
        <v>1.1000000000000001</v>
      </c>
      <c r="G102" s="81">
        <f>F101*F102</f>
        <v>4176.8</v>
      </c>
      <c r="I102" s="62"/>
    </row>
    <row r="103" spans="2:11" x14ac:dyDescent="0.2">
      <c r="B103" s="326" t="s">
        <v>259</v>
      </c>
      <c r="C103" s="15" t="s">
        <v>9</v>
      </c>
      <c r="D103" s="206">
        <v>1</v>
      </c>
      <c r="E103" s="244">
        <v>115000</v>
      </c>
      <c r="F103" s="16">
        <f>D103*E103</f>
        <v>115000</v>
      </c>
      <c r="H103" s="7"/>
    </row>
    <row r="104" spans="2:11" x14ac:dyDescent="0.2">
      <c r="B104" s="213" t="s">
        <v>241</v>
      </c>
      <c r="C104" s="15" t="s">
        <v>83</v>
      </c>
      <c r="D104" s="206">
        <v>10</v>
      </c>
      <c r="E104" s="61"/>
      <c r="F104" s="16"/>
      <c r="H104" s="7"/>
    </row>
    <row r="105" spans="2:11" x14ac:dyDescent="0.2">
      <c r="B105" s="213" t="s">
        <v>242</v>
      </c>
      <c r="C105" s="15" t="s">
        <v>83</v>
      </c>
      <c r="D105" s="206">
        <v>0</v>
      </c>
      <c r="E105" s="61"/>
      <c r="F105" s="16"/>
      <c r="G105" s="18"/>
      <c r="J105" s="62"/>
      <c r="K105" s="62"/>
    </row>
    <row r="106" spans="2:11" x14ac:dyDescent="0.2">
      <c r="B106" s="213" t="s">
        <v>243</v>
      </c>
      <c r="C106" s="15" t="s">
        <v>2</v>
      </c>
      <c r="D106" s="61">
        <v>65.180000000000007</v>
      </c>
      <c r="E106" s="61">
        <f>F103</f>
        <v>115000</v>
      </c>
      <c r="F106" s="16">
        <f>D106*E106/100</f>
        <v>74957</v>
      </c>
    </row>
    <row r="107" spans="2:11" x14ac:dyDescent="0.2">
      <c r="B107" s="66" t="s">
        <v>244</v>
      </c>
      <c r="C107" s="67" t="s">
        <v>7</v>
      </c>
      <c r="D107" s="235">
        <f>D104*12</f>
        <v>120</v>
      </c>
      <c r="E107" s="75">
        <f>IF(D105&lt;=D104,F106,0)</f>
        <v>74957</v>
      </c>
      <c r="F107" s="68">
        <f>IFERROR(E107/D107,0)</f>
        <v>624.64</v>
      </c>
    </row>
    <row r="108" spans="2:11" x14ac:dyDescent="0.2">
      <c r="B108" s="66" t="s">
        <v>250</v>
      </c>
      <c r="C108" s="67"/>
      <c r="D108" s="235"/>
      <c r="E108" s="75"/>
      <c r="F108" s="68">
        <f>F107</f>
        <v>624.64</v>
      </c>
    </row>
    <row r="109" spans="2:11" ht="13.5" thickBot="1" x14ac:dyDescent="0.25">
      <c r="B109" s="66" t="s">
        <v>214</v>
      </c>
      <c r="C109" s="67" t="s">
        <v>9</v>
      </c>
      <c r="D109" s="206">
        <v>1</v>
      </c>
      <c r="E109" s="75">
        <f>F108</f>
        <v>624.64</v>
      </c>
      <c r="F109" s="68">
        <f>D109*E109</f>
        <v>624.64</v>
      </c>
    </row>
    <row r="110" spans="2:11" ht="13.5" thickBot="1" x14ac:dyDescent="0.25">
      <c r="B110" s="271"/>
      <c r="C110" s="271"/>
      <c r="D110" s="271"/>
      <c r="E110" s="269" t="s">
        <v>167</v>
      </c>
      <c r="F110" s="36">
        <v>1.1000000000000001</v>
      </c>
      <c r="G110" s="81">
        <f>F109*F110</f>
        <v>687.1</v>
      </c>
      <c r="I110" s="62"/>
    </row>
    <row r="111" spans="2:11" x14ac:dyDescent="0.2">
      <c r="B111" s="326" t="s">
        <v>260</v>
      </c>
      <c r="C111" s="15" t="s">
        <v>9</v>
      </c>
      <c r="D111" s="206">
        <v>1</v>
      </c>
      <c r="E111" s="244">
        <v>155000</v>
      </c>
      <c r="F111" s="16">
        <f>D111*E111</f>
        <v>155000</v>
      </c>
      <c r="H111" s="7"/>
    </row>
    <row r="112" spans="2:11" x14ac:dyDescent="0.2">
      <c r="B112" s="213" t="s">
        <v>246</v>
      </c>
      <c r="C112" s="15" t="s">
        <v>83</v>
      </c>
      <c r="D112" s="206">
        <v>10</v>
      </c>
      <c r="E112" s="61"/>
      <c r="F112" s="16"/>
      <c r="H112" s="7"/>
    </row>
    <row r="113" spans="2:11" x14ac:dyDescent="0.2">
      <c r="B113" s="213" t="s">
        <v>247</v>
      </c>
      <c r="C113" s="15" t="s">
        <v>83</v>
      </c>
      <c r="D113" s="206">
        <v>0</v>
      </c>
      <c r="E113" s="61"/>
      <c r="F113" s="16"/>
      <c r="G113" s="18"/>
      <c r="J113" s="62"/>
      <c r="K113" s="62"/>
    </row>
    <row r="114" spans="2:11" x14ac:dyDescent="0.2">
      <c r="B114" s="213" t="s">
        <v>251</v>
      </c>
      <c r="C114" s="15" t="s">
        <v>2</v>
      </c>
      <c r="D114" s="61">
        <v>65.180000000000007</v>
      </c>
      <c r="E114" s="61">
        <f>F111</f>
        <v>155000</v>
      </c>
      <c r="F114" s="16">
        <f>D114*E114/100</f>
        <v>101029</v>
      </c>
    </row>
    <row r="115" spans="2:11" x14ac:dyDescent="0.2">
      <c r="B115" s="66" t="s">
        <v>248</v>
      </c>
      <c r="C115" s="67" t="s">
        <v>7</v>
      </c>
      <c r="D115" s="235">
        <f>D112*12</f>
        <v>120</v>
      </c>
      <c r="E115" s="75">
        <f>IF(D113&lt;=D112,F114,0)</f>
        <v>101029</v>
      </c>
      <c r="F115" s="68">
        <f>IFERROR(E115/D115,0)</f>
        <v>841.91</v>
      </c>
    </row>
    <row r="116" spans="2:11" x14ac:dyDescent="0.2">
      <c r="B116" s="66" t="s">
        <v>249</v>
      </c>
      <c r="C116" s="67"/>
      <c r="D116" s="235"/>
      <c r="E116" s="75"/>
      <c r="F116" s="68">
        <f>F115</f>
        <v>841.91</v>
      </c>
    </row>
    <row r="117" spans="2:11" ht="13.5" thickBot="1" x14ac:dyDescent="0.25">
      <c r="B117" s="66" t="s">
        <v>214</v>
      </c>
      <c r="C117" s="67" t="s">
        <v>9</v>
      </c>
      <c r="D117" s="206">
        <v>1</v>
      </c>
      <c r="E117" s="75">
        <f>F116</f>
        <v>841.91</v>
      </c>
      <c r="F117" s="68">
        <f>D117*E117</f>
        <v>841.91</v>
      </c>
    </row>
    <row r="118" spans="2:11" ht="13.5" thickBot="1" x14ac:dyDescent="0.25">
      <c r="B118" s="271"/>
      <c r="C118" s="271"/>
      <c r="D118" s="271"/>
      <c r="E118" s="269" t="s">
        <v>167</v>
      </c>
      <c r="F118" s="36">
        <v>1.1000000000000001</v>
      </c>
      <c r="G118" s="81">
        <f>F117*F118</f>
        <v>926.1</v>
      </c>
      <c r="I118" s="62"/>
    </row>
    <row r="119" spans="2:11" x14ac:dyDescent="0.2">
      <c r="B119" s="326" t="s">
        <v>287</v>
      </c>
      <c r="C119" s="15" t="s">
        <v>9</v>
      </c>
      <c r="D119" s="206">
        <v>5</v>
      </c>
      <c r="E119" s="244">
        <v>40000</v>
      </c>
      <c r="F119" s="16">
        <f>D119*E119</f>
        <v>200000</v>
      </c>
      <c r="H119" s="7"/>
    </row>
    <row r="120" spans="2:11" x14ac:dyDescent="0.2">
      <c r="B120" s="213" t="s">
        <v>282</v>
      </c>
      <c r="C120" s="15" t="s">
        <v>83</v>
      </c>
      <c r="D120" s="206">
        <v>10</v>
      </c>
      <c r="E120" s="61"/>
      <c r="F120" s="16"/>
      <c r="H120" s="7"/>
    </row>
    <row r="121" spans="2:11" x14ac:dyDescent="0.2">
      <c r="B121" s="213" t="s">
        <v>283</v>
      </c>
      <c r="C121" s="15" t="s">
        <v>83</v>
      </c>
      <c r="D121" s="206">
        <v>0</v>
      </c>
      <c r="E121" s="61"/>
      <c r="F121" s="16"/>
      <c r="G121" s="18"/>
      <c r="J121" s="62"/>
      <c r="K121" s="62"/>
    </row>
    <row r="122" spans="2:11" x14ac:dyDescent="0.2">
      <c r="B122" s="213" t="s">
        <v>284</v>
      </c>
      <c r="C122" s="15" t="s">
        <v>2</v>
      </c>
      <c r="D122" s="61">
        <v>65.180000000000007</v>
      </c>
      <c r="E122" s="61">
        <f>F119</f>
        <v>200000</v>
      </c>
      <c r="F122" s="16">
        <f>D122*E122/100</f>
        <v>130360</v>
      </c>
    </row>
    <row r="123" spans="2:11" x14ac:dyDescent="0.2">
      <c r="B123" s="66" t="s">
        <v>292</v>
      </c>
      <c r="C123" s="67" t="s">
        <v>7</v>
      </c>
      <c r="D123" s="235">
        <f>D120*12</f>
        <v>120</v>
      </c>
      <c r="E123" s="75">
        <f>IF(D121&lt;=D120,F122,0)</f>
        <v>130360</v>
      </c>
      <c r="F123" s="68">
        <f>IFERROR(E123/D123,0)</f>
        <v>1086.33</v>
      </c>
    </row>
    <row r="124" spans="2:11" hidden="1" x14ac:dyDescent="0.2">
      <c r="B124" s="14" t="s">
        <v>84</v>
      </c>
      <c r="C124" s="15" t="s">
        <v>9</v>
      </c>
      <c r="D124" s="206">
        <v>0</v>
      </c>
      <c r="E124" s="61">
        <v>59900</v>
      </c>
      <c r="F124" s="16">
        <f>D124*E124</f>
        <v>0</v>
      </c>
      <c r="H124" s="7"/>
    </row>
    <row r="125" spans="2:11" x14ac:dyDescent="0.2">
      <c r="B125" s="66" t="s">
        <v>288</v>
      </c>
      <c r="C125" s="67"/>
      <c r="D125" s="235"/>
      <c r="E125" s="75"/>
      <c r="F125" s="68">
        <f>F123</f>
        <v>1086.33</v>
      </c>
    </row>
    <row r="126" spans="2:11" ht="13.5" thickBot="1" x14ac:dyDescent="0.25">
      <c r="B126" s="66" t="s">
        <v>214</v>
      </c>
      <c r="C126" s="67" t="s">
        <v>9</v>
      </c>
      <c r="D126" s="206">
        <v>1</v>
      </c>
      <c r="E126" s="75">
        <f>F125</f>
        <v>1086.33</v>
      </c>
      <c r="F126" s="68">
        <f>D126*E126</f>
        <v>1086.33</v>
      </c>
    </row>
    <row r="127" spans="2:11" ht="13.5" thickBot="1" x14ac:dyDescent="0.25">
      <c r="B127" s="204"/>
      <c r="C127" s="271"/>
      <c r="D127" s="271"/>
      <c r="E127" s="269" t="s">
        <v>167</v>
      </c>
      <c r="F127" s="36">
        <v>1.1000000000000001</v>
      </c>
      <c r="G127" s="19">
        <f>F126*F127</f>
        <v>1194.96</v>
      </c>
      <c r="I127" s="62"/>
    </row>
    <row r="128" spans="2:11" ht="13.5" thickBot="1" x14ac:dyDescent="0.25">
      <c r="B128" s="272"/>
      <c r="C128" s="272"/>
      <c r="D128" s="272"/>
      <c r="E128" s="236"/>
      <c r="F128" s="273"/>
      <c r="G128" s="23"/>
      <c r="I128" s="62"/>
    </row>
    <row r="129" spans="2:11" ht="13.5" thickBot="1" x14ac:dyDescent="0.25">
      <c r="B129" s="257" t="s">
        <v>265</v>
      </c>
      <c r="C129" s="235"/>
      <c r="D129" s="206"/>
      <c r="E129" s="75"/>
      <c r="F129" s="295"/>
      <c r="G129" s="296">
        <f>G127+G118+G110+G102</f>
        <v>6984.96</v>
      </c>
    </row>
    <row r="130" spans="2:11" x14ac:dyDescent="0.2">
      <c r="B130" s="263"/>
      <c r="C130" s="204"/>
      <c r="D130" s="204"/>
      <c r="E130" s="80"/>
      <c r="F130" s="42"/>
      <c r="G130" s="23"/>
      <c r="I130" s="62"/>
    </row>
    <row r="131" spans="2:11" x14ac:dyDescent="0.2">
      <c r="B131" s="263" t="s">
        <v>279</v>
      </c>
    </row>
    <row r="132" spans="2:11" x14ac:dyDescent="0.2">
      <c r="B132" s="267" t="s">
        <v>55</v>
      </c>
      <c r="C132" s="267" t="s">
        <v>56</v>
      </c>
      <c r="D132" s="267" t="s">
        <v>34</v>
      </c>
      <c r="E132" s="268" t="s">
        <v>196</v>
      </c>
      <c r="F132" s="268" t="s">
        <v>57</v>
      </c>
      <c r="G132" s="268" t="s">
        <v>58</v>
      </c>
      <c r="J132" s="62"/>
      <c r="K132" s="62"/>
    </row>
    <row r="133" spans="2:11" x14ac:dyDescent="0.2">
      <c r="B133" s="265" t="s">
        <v>252</v>
      </c>
      <c r="C133" s="15" t="s">
        <v>9</v>
      </c>
      <c r="D133" s="206">
        <v>1</v>
      </c>
      <c r="E133" s="244">
        <v>699065</v>
      </c>
      <c r="F133" s="16">
        <f>D133*E133</f>
        <v>699065</v>
      </c>
      <c r="G133" s="16"/>
      <c r="J133" s="62"/>
      <c r="K133" s="62"/>
    </row>
    <row r="134" spans="2:11" x14ac:dyDescent="0.2">
      <c r="B134" s="256" t="s">
        <v>177</v>
      </c>
      <c r="C134" s="15" t="s">
        <v>2</v>
      </c>
      <c r="D134" s="206">
        <v>10.65</v>
      </c>
      <c r="E134" s="16"/>
      <c r="F134" s="16"/>
      <c r="G134" s="16"/>
      <c r="J134" s="62"/>
      <c r="K134" s="62"/>
    </row>
    <row r="135" spans="2:11" x14ac:dyDescent="0.2">
      <c r="B135" s="256" t="s">
        <v>176</v>
      </c>
      <c r="C135" s="15" t="s">
        <v>27</v>
      </c>
      <c r="D135" s="244">
        <v>699065</v>
      </c>
      <c r="E135" s="16"/>
      <c r="F135" s="16"/>
      <c r="G135" s="16"/>
      <c r="J135" s="62"/>
      <c r="K135" s="62"/>
    </row>
    <row r="136" spans="2:11" x14ac:dyDescent="0.2">
      <c r="B136" s="256" t="s">
        <v>261</v>
      </c>
      <c r="C136" s="15" t="s">
        <v>27</v>
      </c>
      <c r="D136" s="61">
        <f>IFERROR(IF(D97&gt;=D96,D135,((((D135)-(F95-F98))*(((D96-D97)+1)/(2*(D96-D97))))+(F95-F98))),0)</f>
        <v>494022.24</v>
      </c>
      <c r="E136" s="16"/>
      <c r="F136" s="16"/>
      <c r="G136" s="16"/>
      <c r="I136" s="62"/>
      <c r="J136" s="62"/>
      <c r="K136" s="62"/>
    </row>
    <row r="137" spans="2:11" x14ac:dyDescent="0.2">
      <c r="B137" s="257" t="s">
        <v>262</v>
      </c>
      <c r="C137" s="67" t="s">
        <v>27</v>
      </c>
      <c r="D137" s="67"/>
      <c r="E137" s="75">
        <f>D134*D136/12/100</f>
        <v>4384.45</v>
      </c>
      <c r="F137" s="68">
        <f>E137</f>
        <v>4384.45</v>
      </c>
      <c r="G137" s="16"/>
      <c r="I137" s="62"/>
      <c r="J137" s="62"/>
      <c r="K137" s="62"/>
    </row>
    <row r="138" spans="2:11" x14ac:dyDescent="0.2">
      <c r="B138" s="257" t="s">
        <v>213</v>
      </c>
      <c r="C138" s="67"/>
      <c r="D138" s="67"/>
      <c r="E138" s="68"/>
      <c r="F138" s="68">
        <f>F137</f>
        <v>4384.45</v>
      </c>
      <c r="G138" s="16"/>
      <c r="J138" s="62"/>
      <c r="K138" s="62"/>
    </row>
    <row r="139" spans="2:11" x14ac:dyDescent="0.2">
      <c r="B139" s="257" t="s">
        <v>214</v>
      </c>
      <c r="C139" s="67" t="s">
        <v>9</v>
      </c>
      <c r="D139" s="206">
        <f>D101</f>
        <v>1</v>
      </c>
      <c r="E139" s="68">
        <f>F138</f>
        <v>4384.45</v>
      </c>
      <c r="F139" s="68">
        <f>D139*E139</f>
        <v>4384.45</v>
      </c>
      <c r="G139" s="16"/>
      <c r="J139" s="62"/>
      <c r="K139" s="62"/>
    </row>
    <row r="140" spans="2:11" x14ac:dyDescent="0.2">
      <c r="B140" s="256"/>
      <c r="C140" s="14"/>
      <c r="D140" s="15"/>
      <c r="E140" s="269" t="s">
        <v>167</v>
      </c>
      <c r="F140" s="36">
        <v>1.1000000000000001</v>
      </c>
      <c r="G140" s="270">
        <f>F139*F140</f>
        <v>4822.8999999999996</v>
      </c>
      <c r="J140" s="62"/>
      <c r="K140" s="62"/>
    </row>
    <row r="141" spans="2:11" x14ac:dyDescent="0.2">
      <c r="B141" s="327" t="s">
        <v>240</v>
      </c>
      <c r="C141" s="15" t="s">
        <v>9</v>
      </c>
      <c r="D141" s="206">
        <v>1</v>
      </c>
      <c r="E141" s="16">
        <v>115000</v>
      </c>
      <c r="F141" s="16">
        <f>D141*E141</f>
        <v>115000</v>
      </c>
      <c r="G141" s="16"/>
      <c r="J141" s="62"/>
      <c r="K141" s="62"/>
    </row>
    <row r="142" spans="2:11" x14ac:dyDescent="0.2">
      <c r="B142" s="256" t="s">
        <v>177</v>
      </c>
      <c r="C142" s="15" t="s">
        <v>2</v>
      </c>
      <c r="D142" s="206">
        <v>10.65</v>
      </c>
      <c r="E142" s="16"/>
      <c r="F142" s="16"/>
      <c r="G142" s="16"/>
      <c r="J142" s="62"/>
      <c r="K142" s="62"/>
    </row>
    <row r="143" spans="2:11" x14ac:dyDescent="0.2">
      <c r="B143" s="256" t="s">
        <v>271</v>
      </c>
      <c r="C143" s="15" t="s">
        <v>27</v>
      </c>
      <c r="D143" s="100">
        <f>IFERROR(IF(D105&lt;=D104,F103-(D106/(100*D104)*D105)*F103,F103-F106),0)</f>
        <v>115000</v>
      </c>
      <c r="E143" s="16"/>
      <c r="F143" s="16"/>
      <c r="G143" s="16"/>
      <c r="J143" s="62"/>
      <c r="K143" s="62"/>
    </row>
    <row r="144" spans="2:11" x14ac:dyDescent="0.2">
      <c r="B144" s="256" t="s">
        <v>272</v>
      </c>
      <c r="C144" s="15" t="s">
        <v>27</v>
      </c>
      <c r="D144" s="61">
        <f>IFERROR(IF(D105&gt;=D104,D143,((((D143)-(F103-F106))*(((D104-D105)+1)/(2*(D104-D105))))+(F103-F106))),0)</f>
        <v>81269.350000000006</v>
      </c>
      <c r="E144" s="16"/>
      <c r="F144" s="16"/>
      <c r="G144" s="16"/>
      <c r="I144" s="62"/>
      <c r="J144" s="62"/>
      <c r="K144" s="62"/>
    </row>
    <row r="145" spans="2:11" x14ac:dyDescent="0.2">
      <c r="B145" s="257" t="s">
        <v>273</v>
      </c>
      <c r="C145" s="67" t="s">
        <v>27</v>
      </c>
      <c r="D145" s="67"/>
      <c r="E145" s="75">
        <f>D142*D144/12/100</f>
        <v>721.27</v>
      </c>
      <c r="F145" s="68">
        <f>E145</f>
        <v>721.27</v>
      </c>
      <c r="G145" s="16"/>
      <c r="I145" s="62"/>
      <c r="J145" s="62"/>
      <c r="K145" s="62"/>
    </row>
    <row r="146" spans="2:11" x14ac:dyDescent="0.2">
      <c r="B146" s="257" t="s">
        <v>274</v>
      </c>
      <c r="C146" s="67"/>
      <c r="D146" s="67"/>
      <c r="E146" s="68"/>
      <c r="F146" s="245">
        <f>F145</f>
        <v>721.27</v>
      </c>
      <c r="G146" s="16"/>
      <c r="J146" s="62"/>
      <c r="K146" s="62"/>
    </row>
    <row r="147" spans="2:11" x14ac:dyDescent="0.2">
      <c r="B147" s="257" t="s">
        <v>214</v>
      </c>
      <c r="C147" s="67" t="s">
        <v>9</v>
      </c>
      <c r="D147" s="206">
        <f>D109</f>
        <v>1</v>
      </c>
      <c r="E147" s="68">
        <f>F146</f>
        <v>721.27</v>
      </c>
      <c r="F147" s="68">
        <f>D147*E147</f>
        <v>721.27</v>
      </c>
      <c r="G147" s="16"/>
      <c r="J147" s="62"/>
      <c r="K147" s="62"/>
    </row>
    <row r="148" spans="2:11" x14ac:dyDescent="0.2">
      <c r="B148" s="256"/>
      <c r="C148" s="14"/>
      <c r="D148" s="15"/>
      <c r="E148" s="269" t="s">
        <v>167</v>
      </c>
      <c r="F148" s="36">
        <v>1.1000000000000001</v>
      </c>
      <c r="G148" s="270">
        <f>F147*F148</f>
        <v>793.4</v>
      </c>
      <c r="J148" s="62"/>
      <c r="K148" s="62"/>
    </row>
    <row r="149" spans="2:11" x14ac:dyDescent="0.2">
      <c r="B149" s="327" t="s">
        <v>245</v>
      </c>
      <c r="C149" s="15" t="s">
        <v>9</v>
      </c>
      <c r="D149" s="206">
        <v>1</v>
      </c>
      <c r="E149" s="16">
        <v>155000</v>
      </c>
      <c r="F149" s="16">
        <f>D149*E149</f>
        <v>155000</v>
      </c>
      <c r="G149" s="16"/>
      <c r="J149" s="62"/>
      <c r="K149" s="62"/>
    </row>
    <row r="150" spans="2:11" x14ac:dyDescent="0.2">
      <c r="B150" s="256" t="s">
        <v>177</v>
      </c>
      <c r="C150" s="15" t="s">
        <v>2</v>
      </c>
      <c r="D150" s="206">
        <v>10.65</v>
      </c>
      <c r="E150" s="16"/>
      <c r="F150" s="16"/>
      <c r="G150" s="16"/>
      <c r="J150" s="62"/>
      <c r="K150" s="62"/>
    </row>
    <row r="151" spans="2:11" x14ac:dyDescent="0.2">
      <c r="B151" s="256" t="s">
        <v>275</v>
      </c>
      <c r="C151" s="15" t="s">
        <v>27</v>
      </c>
      <c r="D151" s="100">
        <f>E149</f>
        <v>155000</v>
      </c>
      <c r="E151" s="16"/>
      <c r="F151" s="16"/>
      <c r="G151" s="16"/>
      <c r="J151" s="62"/>
      <c r="K151" s="62"/>
    </row>
    <row r="152" spans="2:11" x14ac:dyDescent="0.2">
      <c r="B152" s="256" t="s">
        <v>276</v>
      </c>
      <c r="C152" s="15" t="s">
        <v>27</v>
      </c>
      <c r="D152" s="61">
        <f>IFERROR(IF(D113&gt;=D112,D151,((((D151)-(F111-F114))*(((D112-D113)+1)/(2*(D112-D113))))+(F111-F114))),0)</f>
        <v>109536.95</v>
      </c>
      <c r="E152" s="16"/>
      <c r="F152" s="16"/>
      <c r="G152" s="16"/>
      <c r="I152" s="62"/>
      <c r="J152" s="62"/>
      <c r="K152" s="62"/>
    </row>
    <row r="153" spans="2:11" x14ac:dyDescent="0.2">
      <c r="B153" s="257" t="s">
        <v>277</v>
      </c>
      <c r="C153" s="67" t="s">
        <v>27</v>
      </c>
      <c r="D153" s="67"/>
      <c r="E153" s="75">
        <f>D150*D152/12/100</f>
        <v>972.14</v>
      </c>
      <c r="F153" s="68">
        <f>E153</f>
        <v>972.14</v>
      </c>
      <c r="G153" s="16"/>
      <c r="I153" s="62"/>
      <c r="J153" s="62"/>
      <c r="K153" s="62"/>
    </row>
    <row r="154" spans="2:11" x14ac:dyDescent="0.2">
      <c r="B154" s="257" t="s">
        <v>278</v>
      </c>
      <c r="C154" s="67"/>
      <c r="D154" s="67"/>
      <c r="E154" s="68"/>
      <c r="F154" s="245">
        <f>F153</f>
        <v>972.14</v>
      </c>
      <c r="G154" s="16"/>
      <c r="J154" s="62"/>
      <c r="K154" s="62"/>
    </row>
    <row r="155" spans="2:11" x14ac:dyDescent="0.2">
      <c r="B155" s="257" t="s">
        <v>214</v>
      </c>
      <c r="C155" s="67" t="s">
        <v>9</v>
      </c>
      <c r="D155" s="206">
        <f>D117</f>
        <v>1</v>
      </c>
      <c r="E155" s="68">
        <f>F154</f>
        <v>972.14</v>
      </c>
      <c r="F155" s="68">
        <f>D155*E155</f>
        <v>972.14</v>
      </c>
      <c r="G155" s="16"/>
      <c r="J155" s="62"/>
      <c r="K155" s="62"/>
    </row>
    <row r="156" spans="2:11" x14ac:dyDescent="0.2">
      <c r="B156" s="256"/>
      <c r="C156" s="14"/>
      <c r="D156" s="15"/>
      <c r="E156" s="269" t="s">
        <v>167</v>
      </c>
      <c r="F156" s="36">
        <v>1.1000000000000001</v>
      </c>
      <c r="G156" s="270">
        <f>F155*F156</f>
        <v>1069.3499999999999</v>
      </c>
      <c r="J156" s="62"/>
      <c r="K156" s="62"/>
    </row>
    <row r="157" spans="2:11" x14ac:dyDescent="0.2">
      <c r="B157" s="326" t="s">
        <v>287</v>
      </c>
      <c r="C157" s="15" t="s">
        <v>9</v>
      </c>
      <c r="D157" s="206">
        <v>5</v>
      </c>
      <c r="E157" s="16">
        <v>40000</v>
      </c>
      <c r="F157" s="16">
        <f>D157*E157</f>
        <v>200000</v>
      </c>
      <c r="G157" s="16"/>
      <c r="J157" s="62"/>
      <c r="K157" s="62"/>
    </row>
    <row r="158" spans="2:11" x14ac:dyDescent="0.2">
      <c r="B158" s="256" t="s">
        <v>177</v>
      </c>
      <c r="C158" s="15" t="s">
        <v>2</v>
      </c>
      <c r="D158" s="206">
        <v>10.65</v>
      </c>
      <c r="E158" s="16"/>
      <c r="F158" s="16"/>
      <c r="G158" s="16"/>
      <c r="J158" s="62"/>
      <c r="K158" s="62"/>
    </row>
    <row r="159" spans="2:11" x14ac:dyDescent="0.2">
      <c r="B159" s="256" t="s">
        <v>285</v>
      </c>
      <c r="C159" s="15" t="s">
        <v>27</v>
      </c>
      <c r="D159" s="100">
        <f>IFERROR(IF(D121&lt;=D120,F119-(D122/(100*D120)*D121)*F119,F119-F122),0)</f>
        <v>200000</v>
      </c>
      <c r="E159" s="16"/>
      <c r="F159" s="16"/>
      <c r="G159" s="16"/>
      <c r="J159" s="62"/>
      <c r="K159" s="62"/>
    </row>
    <row r="160" spans="2:11" x14ac:dyDescent="0.2">
      <c r="B160" s="256" t="s">
        <v>289</v>
      </c>
      <c r="C160" s="15" t="s">
        <v>27</v>
      </c>
      <c r="D160" s="61">
        <f>IFERROR(IF(D121&gt;=D120,D159,((((D159)-(F119-F122))*(((D120-D121)+1)/(2*(D120-D121))))+(F119-F122))),0)</f>
        <v>141338</v>
      </c>
      <c r="E160" s="16"/>
      <c r="F160" s="16"/>
      <c r="G160" s="16"/>
      <c r="I160" s="62"/>
      <c r="J160" s="62"/>
      <c r="K160" s="62"/>
    </row>
    <row r="161" spans="2:11" x14ac:dyDescent="0.2">
      <c r="B161" s="257" t="s">
        <v>286</v>
      </c>
      <c r="C161" s="67" t="s">
        <v>27</v>
      </c>
      <c r="D161" s="67"/>
      <c r="E161" s="75">
        <f>D158*D160/12/100</f>
        <v>1254.3699999999999</v>
      </c>
      <c r="F161" s="68">
        <f>E161</f>
        <v>1254.3699999999999</v>
      </c>
      <c r="G161" s="16"/>
      <c r="I161" s="62"/>
      <c r="J161" s="62"/>
      <c r="K161" s="62"/>
    </row>
    <row r="162" spans="2:11" x14ac:dyDescent="0.2">
      <c r="B162" s="66" t="s">
        <v>288</v>
      </c>
      <c r="C162" s="67"/>
      <c r="D162" s="67"/>
      <c r="E162" s="68"/>
      <c r="F162" s="245">
        <f>F161</f>
        <v>1254.3699999999999</v>
      </c>
      <c r="G162" s="16"/>
      <c r="J162" s="62"/>
      <c r="K162" s="62"/>
    </row>
    <row r="163" spans="2:11" x14ac:dyDescent="0.2">
      <c r="B163" s="257" t="s">
        <v>214</v>
      </c>
      <c r="C163" s="67" t="s">
        <v>9</v>
      </c>
      <c r="D163" s="206">
        <f>D126</f>
        <v>1</v>
      </c>
      <c r="E163" s="68">
        <f>F162</f>
        <v>1254.3699999999999</v>
      </c>
      <c r="F163" s="68">
        <f>D163*E163</f>
        <v>1254.3699999999999</v>
      </c>
      <c r="G163" s="16"/>
      <c r="J163" s="62"/>
      <c r="K163" s="62"/>
    </row>
    <row r="164" spans="2:11" x14ac:dyDescent="0.2">
      <c r="B164" s="39"/>
      <c r="C164" s="39"/>
      <c r="D164" s="15"/>
      <c r="E164" s="269" t="s">
        <v>167</v>
      </c>
      <c r="F164" s="36">
        <v>1.1000000000000001</v>
      </c>
      <c r="G164" s="270">
        <f>F163*F164</f>
        <v>1379.81</v>
      </c>
      <c r="J164" s="62"/>
      <c r="K164" s="62"/>
    </row>
    <row r="165" spans="2:11" ht="13.5" thickBot="1" x14ac:dyDescent="0.25">
      <c r="D165" s="17"/>
      <c r="E165" s="80"/>
      <c r="F165" s="266"/>
      <c r="G165" s="23"/>
      <c r="J165" s="62"/>
      <c r="K165" s="62"/>
    </row>
    <row r="166" spans="2:11" ht="13.5" thickBot="1" x14ac:dyDescent="0.25">
      <c r="B166" s="257" t="s">
        <v>266</v>
      </c>
      <c r="C166" s="235"/>
      <c r="D166" s="206"/>
      <c r="E166" s="75"/>
      <c r="F166" s="36"/>
      <c r="G166" s="297">
        <f>G164+G156+G148+G140</f>
        <v>8065.46</v>
      </c>
    </row>
    <row r="167" spans="2:11" x14ac:dyDescent="0.2">
      <c r="D167" s="17"/>
      <c r="E167" s="80"/>
      <c r="F167" s="42"/>
      <c r="G167" s="23"/>
      <c r="J167" s="62"/>
      <c r="K167" s="62"/>
    </row>
    <row r="168" spans="2:11" ht="13.5" thickBot="1" x14ac:dyDescent="0.25">
      <c r="B168" s="7" t="s">
        <v>43</v>
      </c>
      <c r="J168" s="62"/>
      <c r="K168" s="62"/>
    </row>
    <row r="169" spans="2:11" ht="13.5" thickBot="1" x14ac:dyDescent="0.25">
      <c r="B169" s="43" t="s">
        <v>55</v>
      </c>
      <c r="C169" s="44" t="s">
        <v>56</v>
      </c>
      <c r="D169" s="44" t="s">
        <v>34</v>
      </c>
      <c r="E169" s="45" t="s">
        <v>196</v>
      </c>
      <c r="F169" s="45" t="s">
        <v>57</v>
      </c>
      <c r="G169" s="46" t="s">
        <v>58</v>
      </c>
      <c r="H169" s="8">
        <f>6990.65*1.1</f>
        <v>7689.72</v>
      </c>
      <c r="J169" s="62"/>
      <c r="K169" s="62"/>
    </row>
    <row r="170" spans="2:11" x14ac:dyDescent="0.2">
      <c r="B170" s="215" t="s">
        <v>263</v>
      </c>
      <c r="C170" s="12" t="s">
        <v>9</v>
      </c>
      <c r="D170" s="13">
        <f>D101</f>
        <v>1</v>
      </c>
      <c r="E170" s="13">
        <v>7689.72</v>
      </c>
      <c r="F170" s="13">
        <f t="shared" ref="F170:F175" si="4">D170*E170</f>
        <v>7689.72</v>
      </c>
      <c r="J170" s="62"/>
      <c r="K170" s="62"/>
    </row>
    <row r="171" spans="2:11" x14ac:dyDescent="0.2">
      <c r="B171" s="14" t="s">
        <v>166</v>
      </c>
      <c r="C171" s="15" t="s">
        <v>9</v>
      </c>
      <c r="D171" s="13">
        <f>D101</f>
        <v>1</v>
      </c>
      <c r="E171" s="61">
        <v>252.08</v>
      </c>
      <c r="F171" s="16">
        <f t="shared" si="4"/>
        <v>252.08</v>
      </c>
      <c r="I171" s="62"/>
      <c r="J171" s="62"/>
      <c r="K171" s="62"/>
    </row>
    <row r="172" spans="2:11" x14ac:dyDescent="0.2">
      <c r="B172" s="14" t="s">
        <v>10</v>
      </c>
      <c r="C172" s="15" t="s">
        <v>9</v>
      </c>
      <c r="D172" s="13">
        <f>D101</f>
        <v>1</v>
      </c>
      <c r="E172" s="61">
        <v>4400</v>
      </c>
      <c r="F172" s="16">
        <f t="shared" si="4"/>
        <v>4400</v>
      </c>
      <c r="G172" s="262"/>
      <c r="H172" s="8">
        <f>620/699</f>
        <v>0.89</v>
      </c>
      <c r="J172" s="62"/>
      <c r="K172" s="62"/>
    </row>
    <row r="173" spans="2:11" x14ac:dyDescent="0.2">
      <c r="B173" s="215" t="s">
        <v>300</v>
      </c>
      <c r="C173" s="12" t="s">
        <v>9</v>
      </c>
      <c r="D173" s="13">
        <v>1</v>
      </c>
      <c r="E173" s="13">
        <f>0.01*E149</f>
        <v>1550</v>
      </c>
      <c r="F173" s="13">
        <f t="shared" si="4"/>
        <v>1550</v>
      </c>
      <c r="J173" s="62"/>
      <c r="K173" s="62"/>
    </row>
    <row r="174" spans="2:11" x14ac:dyDescent="0.2">
      <c r="B174" s="213" t="s">
        <v>298</v>
      </c>
      <c r="C174" s="15" t="s">
        <v>9</v>
      </c>
      <c r="D174" s="13">
        <v>1</v>
      </c>
      <c r="E174" s="61">
        <v>252.08</v>
      </c>
      <c r="F174" s="16">
        <f t="shared" si="4"/>
        <v>252.08</v>
      </c>
      <c r="I174" s="62"/>
      <c r="J174" s="62"/>
      <c r="K174" s="62"/>
    </row>
    <row r="175" spans="2:11" x14ac:dyDescent="0.2">
      <c r="B175" s="213" t="s">
        <v>299</v>
      </c>
      <c r="C175" s="15" t="s">
        <v>9</v>
      </c>
      <c r="D175" s="13">
        <v>1</v>
      </c>
      <c r="E175" s="61">
        <f>0.03*E149</f>
        <v>4650</v>
      </c>
      <c r="F175" s="16">
        <f t="shared" si="4"/>
        <v>4650</v>
      </c>
      <c r="G175" s="294"/>
      <c r="J175" s="62"/>
      <c r="K175" s="62"/>
    </row>
    <row r="176" spans="2:11" x14ac:dyDescent="0.2">
      <c r="B176" s="14"/>
      <c r="C176" s="15"/>
      <c r="D176" s="13"/>
      <c r="E176" s="61"/>
      <c r="F176" s="16"/>
      <c r="G176" s="294"/>
      <c r="J176" s="62"/>
      <c r="K176" s="62"/>
    </row>
    <row r="177" spans="1:11" x14ac:dyDescent="0.2">
      <c r="B177" s="14"/>
      <c r="C177" s="15"/>
      <c r="D177" s="13"/>
      <c r="E177" s="61"/>
      <c r="F177" s="16"/>
      <c r="G177" s="294"/>
      <c r="J177" s="62"/>
      <c r="K177" s="62"/>
    </row>
    <row r="178" spans="1:11" ht="13.5" thickBot="1" x14ac:dyDescent="0.25">
      <c r="B178" s="66" t="s">
        <v>11</v>
      </c>
      <c r="C178" s="67" t="s">
        <v>7</v>
      </c>
      <c r="D178" s="67">
        <v>12</v>
      </c>
      <c r="E178" s="75">
        <f>SUM(F170:F175)</f>
        <v>18793.88</v>
      </c>
      <c r="F178" s="68">
        <f>E178/D178</f>
        <v>1566.16</v>
      </c>
      <c r="J178" s="62"/>
      <c r="K178" s="62"/>
    </row>
    <row r="179" spans="1:11" ht="13.5" thickBot="1" x14ac:dyDescent="0.25">
      <c r="D179" s="14"/>
      <c r="E179" s="280" t="s">
        <v>167</v>
      </c>
      <c r="F179" s="36">
        <f>$C$37</f>
        <v>1</v>
      </c>
      <c r="G179" s="81">
        <f>F178*F179</f>
        <v>1566.16</v>
      </c>
      <c r="J179" s="62"/>
      <c r="K179" s="62"/>
    </row>
    <row r="180" spans="1:11" x14ac:dyDescent="0.2">
      <c r="B180" s="7" t="s">
        <v>44</v>
      </c>
      <c r="C180" s="22"/>
      <c r="J180" s="62"/>
      <c r="K180" s="62"/>
    </row>
    <row r="181" spans="1:11" x14ac:dyDescent="0.2">
      <c r="B181" s="66" t="s">
        <v>89</v>
      </c>
      <c r="C181" s="237">
        <v>1936</v>
      </c>
      <c r="J181" s="62"/>
      <c r="K181" s="62"/>
    </row>
    <row r="182" spans="1:11" ht="13.5" thickBot="1" x14ac:dyDescent="0.25">
      <c r="C182" s="22"/>
      <c r="J182" s="62"/>
      <c r="K182" s="62"/>
    </row>
    <row r="183" spans="1:11" ht="13.5" thickBot="1" x14ac:dyDescent="0.25">
      <c r="B183" s="43" t="s">
        <v>55</v>
      </c>
      <c r="C183" s="44" t="s">
        <v>56</v>
      </c>
      <c r="D183" s="44" t="s">
        <v>212</v>
      </c>
      <c r="E183" s="45" t="s">
        <v>196</v>
      </c>
      <c r="F183" s="45" t="s">
        <v>57</v>
      </c>
      <c r="G183" s="46" t="s">
        <v>58</v>
      </c>
      <c r="J183" s="62"/>
      <c r="K183" s="62"/>
    </row>
    <row r="184" spans="1:11" x14ac:dyDescent="0.2">
      <c r="A184" s="37"/>
      <c r="B184" s="11" t="s">
        <v>12</v>
      </c>
      <c r="C184" s="12" t="s">
        <v>13</v>
      </c>
      <c r="D184" s="69">
        <f>1.9*1.1</f>
        <v>2.09</v>
      </c>
      <c r="E184" s="238">
        <v>5.92</v>
      </c>
      <c r="F184" s="13"/>
      <c r="I184" s="62"/>
      <c r="J184" s="62"/>
      <c r="K184" s="62"/>
    </row>
    <row r="185" spans="1:11" x14ac:dyDescent="0.2">
      <c r="A185" s="37"/>
      <c r="B185" s="14" t="s">
        <v>14</v>
      </c>
      <c r="C185" s="15" t="s">
        <v>15</v>
      </c>
      <c r="D185" s="61">
        <v>1936</v>
      </c>
      <c r="E185" s="238">
        <f>IFERROR(+E184/D184,"-")*1.1</f>
        <v>3.1160000000000001</v>
      </c>
      <c r="F185" s="16">
        <f>IFERROR(D185*E185,"-")</f>
        <v>6032.58</v>
      </c>
      <c r="I185" s="62"/>
      <c r="J185" s="62"/>
      <c r="K185" s="62"/>
    </row>
    <row r="186" spans="1:11" x14ac:dyDescent="0.2">
      <c r="A186" s="37"/>
      <c r="B186" s="213" t="s">
        <v>221</v>
      </c>
      <c r="C186" s="214" t="s">
        <v>13</v>
      </c>
      <c r="D186" s="61">
        <f>38*1.1</f>
        <v>41.8</v>
      </c>
      <c r="E186" s="239">
        <v>2.7</v>
      </c>
      <c r="F186" s="16"/>
      <c r="H186" s="74"/>
      <c r="I186" s="62"/>
      <c r="J186" s="62"/>
      <c r="K186" s="62"/>
    </row>
    <row r="187" spans="1:11" x14ac:dyDescent="0.2">
      <c r="A187" s="37"/>
      <c r="B187" s="213" t="s">
        <v>223</v>
      </c>
      <c r="C187" s="15" t="s">
        <v>15</v>
      </c>
      <c r="D187" s="61">
        <f>D185</f>
        <v>1936</v>
      </c>
      <c r="E187" s="291">
        <f>0.067</f>
        <v>6.7000000000000004E-2</v>
      </c>
      <c r="F187" s="16">
        <f>IFERROR(D187*E187,"-")</f>
        <v>129.71</v>
      </c>
      <c r="H187" s="74"/>
      <c r="I187" s="62"/>
      <c r="J187" s="62"/>
      <c r="K187" s="62"/>
    </row>
    <row r="188" spans="1:11" x14ac:dyDescent="0.2">
      <c r="A188" s="37"/>
      <c r="B188" s="213" t="s">
        <v>222</v>
      </c>
      <c r="C188" s="214" t="s">
        <v>16</v>
      </c>
      <c r="D188" s="61">
        <f>4*1.1</f>
        <v>4.4000000000000004</v>
      </c>
      <c r="E188" s="241">
        <v>16.13</v>
      </c>
      <c r="F188" s="16"/>
      <c r="H188" s="74"/>
      <c r="I188" s="62"/>
      <c r="J188" s="62"/>
      <c r="K188" s="62"/>
    </row>
    <row r="189" spans="1:11" x14ac:dyDescent="0.2">
      <c r="A189" s="37"/>
      <c r="B189" s="213" t="s">
        <v>224</v>
      </c>
      <c r="C189" s="214" t="s">
        <v>15</v>
      </c>
      <c r="D189" s="61">
        <v>1936</v>
      </c>
      <c r="E189" s="240">
        <f>+D188*E188/1000</f>
        <v>7.0999999999999994E-2</v>
      </c>
      <c r="F189" s="16">
        <f>IFERROR(D189*E189,"-")</f>
        <v>137.46</v>
      </c>
      <c r="H189" s="74"/>
      <c r="I189" s="62"/>
      <c r="J189" s="62"/>
      <c r="K189" s="62"/>
    </row>
    <row r="190" spans="1:11" x14ac:dyDescent="0.2">
      <c r="A190" s="37"/>
      <c r="B190" s="213" t="s">
        <v>197</v>
      </c>
      <c r="C190" s="15" t="s">
        <v>16</v>
      </c>
      <c r="D190" s="61">
        <f>0.5*1.1</f>
        <v>0.55000000000000004</v>
      </c>
      <c r="E190" s="61">
        <v>52.02</v>
      </c>
      <c r="F190" s="16"/>
      <c r="H190" s="74"/>
      <c r="I190" s="62"/>
      <c r="J190" s="62"/>
      <c r="K190" s="62"/>
    </row>
    <row r="191" spans="1:11" x14ac:dyDescent="0.2">
      <c r="A191" s="37"/>
      <c r="B191" s="14" t="s">
        <v>17</v>
      </c>
      <c r="C191" s="15" t="s">
        <v>15</v>
      </c>
      <c r="D191" s="61">
        <f>D185</f>
        <v>1936</v>
      </c>
      <c r="E191" s="240">
        <f>+D190*E190/1000</f>
        <v>2.9000000000000001E-2</v>
      </c>
      <c r="F191" s="16">
        <f>IFERROR(D191*E191,"-")</f>
        <v>56.14</v>
      </c>
      <c r="H191" s="74"/>
      <c r="I191" s="62"/>
      <c r="J191" s="62"/>
      <c r="K191" s="62"/>
    </row>
    <row r="192" spans="1:11" x14ac:dyDescent="0.2">
      <c r="A192" s="37"/>
      <c r="B192" s="14" t="s">
        <v>198</v>
      </c>
      <c r="C192" s="15" t="s">
        <v>16</v>
      </c>
      <c r="D192" s="61">
        <f>10*1.1</f>
        <v>11</v>
      </c>
      <c r="E192" s="61">
        <v>8.98</v>
      </c>
      <c r="F192" s="16"/>
      <c r="H192" s="74"/>
      <c r="I192" s="62"/>
      <c r="J192" s="62"/>
      <c r="K192" s="62"/>
    </row>
    <row r="193" spans="1:11" x14ac:dyDescent="0.2">
      <c r="A193" s="37"/>
      <c r="B193" s="14" t="s">
        <v>18</v>
      </c>
      <c r="C193" s="15" t="s">
        <v>15</v>
      </c>
      <c r="D193" s="61">
        <f>D185</f>
        <v>1936</v>
      </c>
      <c r="E193" s="240">
        <f>+D192*E192/1000</f>
        <v>9.9000000000000005E-2</v>
      </c>
      <c r="F193" s="16">
        <f>IFERROR(D193*E193,"-")</f>
        <v>191.66</v>
      </c>
      <c r="H193" s="74"/>
      <c r="I193" s="62"/>
      <c r="J193" s="62"/>
      <c r="K193" s="62"/>
    </row>
    <row r="194" spans="1:11" x14ac:dyDescent="0.2">
      <c r="A194" s="37"/>
      <c r="B194" s="14" t="s">
        <v>19</v>
      </c>
      <c r="C194" s="15" t="s">
        <v>20</v>
      </c>
      <c r="D194" s="61">
        <f>2*1.1</f>
        <v>2.2000000000000002</v>
      </c>
      <c r="E194" s="61">
        <v>19.14</v>
      </c>
      <c r="F194" s="16"/>
      <c r="H194" s="74"/>
      <c r="I194" s="62"/>
      <c r="J194" s="62"/>
      <c r="K194" s="62"/>
    </row>
    <row r="195" spans="1:11" x14ac:dyDescent="0.2">
      <c r="A195" s="37"/>
      <c r="B195" s="14" t="s">
        <v>21</v>
      </c>
      <c r="C195" s="15" t="s">
        <v>15</v>
      </c>
      <c r="D195" s="61">
        <f>D185</f>
        <v>1936</v>
      </c>
      <c r="E195" s="291">
        <f>0.048</f>
        <v>4.8000000000000001E-2</v>
      </c>
      <c r="F195" s="16">
        <f>IFERROR(D195*E195,"-")</f>
        <v>92.93</v>
      </c>
      <c r="H195" s="74"/>
      <c r="I195" s="37"/>
      <c r="J195" s="62"/>
      <c r="K195" s="62"/>
    </row>
    <row r="196" spans="1:11" ht="13.5" thickBot="1" x14ac:dyDescent="0.25">
      <c r="A196" s="37"/>
      <c r="B196" s="66" t="s">
        <v>211</v>
      </c>
      <c r="C196" s="67" t="s">
        <v>90</v>
      </c>
      <c r="D196" s="75"/>
      <c r="E196" s="242">
        <f>G197/C181</f>
        <v>3.43</v>
      </c>
      <c r="F196" s="16"/>
      <c r="H196" s="74"/>
      <c r="I196" s="37"/>
      <c r="J196" s="62"/>
      <c r="K196" s="62"/>
    </row>
    <row r="197" spans="1:11" ht="13.5" thickBot="1" x14ac:dyDescent="0.25">
      <c r="D197" s="8"/>
      <c r="G197" s="19">
        <f>SUM(F184:F196)</f>
        <v>6640.48</v>
      </c>
      <c r="H197" s="281"/>
      <c r="J197" s="62"/>
      <c r="K197" s="62"/>
    </row>
    <row r="198" spans="1:11" ht="13.5" thickBot="1" x14ac:dyDescent="0.25">
      <c r="B198" s="7" t="s">
        <v>45</v>
      </c>
      <c r="J198" s="62"/>
      <c r="K198" s="62"/>
    </row>
    <row r="199" spans="1:11" ht="13.5" thickBot="1" x14ac:dyDescent="0.25">
      <c r="B199" s="43" t="s">
        <v>55</v>
      </c>
      <c r="C199" s="44" t="s">
        <v>56</v>
      </c>
      <c r="D199" s="44" t="s">
        <v>34</v>
      </c>
      <c r="E199" s="45" t="s">
        <v>196</v>
      </c>
      <c r="F199" s="45" t="s">
        <v>57</v>
      </c>
      <c r="G199" s="46" t="s">
        <v>58</v>
      </c>
      <c r="I199" s="8"/>
      <c r="J199" s="62"/>
      <c r="K199" s="279"/>
    </row>
    <row r="200" spans="1:11" ht="13.5" thickBot="1" x14ac:dyDescent="0.25">
      <c r="B200" s="11" t="s">
        <v>88</v>
      </c>
      <c r="C200" s="12" t="s">
        <v>90</v>
      </c>
      <c r="D200" s="64">
        <v>1936</v>
      </c>
      <c r="E200" s="69">
        <v>1.1299999999999999</v>
      </c>
      <c r="F200" s="13">
        <f>D200*E200</f>
        <v>2187.6799999999998</v>
      </c>
      <c r="H200" s="218" t="s">
        <v>302</v>
      </c>
      <c r="J200" s="62"/>
      <c r="K200" s="62"/>
    </row>
    <row r="201" spans="1:11" ht="13.5" thickBot="1" x14ac:dyDescent="0.25">
      <c r="G201" s="19">
        <f>F200</f>
        <v>2187.6799999999998</v>
      </c>
      <c r="J201" s="62"/>
      <c r="K201" s="62"/>
    </row>
    <row r="202" spans="1:11" ht="13.5" thickBot="1" x14ac:dyDescent="0.25">
      <c r="B202" s="7" t="s">
        <v>53</v>
      </c>
      <c r="J202" s="62"/>
      <c r="K202" s="62"/>
    </row>
    <row r="203" spans="1:11" ht="13.5" thickBot="1" x14ac:dyDescent="0.25">
      <c r="B203" s="43" t="s">
        <v>55</v>
      </c>
      <c r="C203" s="44" t="s">
        <v>56</v>
      </c>
      <c r="D203" s="44" t="s">
        <v>34</v>
      </c>
      <c r="E203" s="45" t="s">
        <v>196</v>
      </c>
      <c r="F203" s="45" t="s">
        <v>57</v>
      </c>
      <c r="G203" s="46" t="s">
        <v>58</v>
      </c>
      <c r="J203" s="62"/>
      <c r="K203" s="62"/>
    </row>
    <row r="204" spans="1:11" x14ac:dyDescent="0.2">
      <c r="B204" s="215" t="s">
        <v>225</v>
      </c>
      <c r="C204" s="12" t="s">
        <v>9</v>
      </c>
      <c r="D204" s="205">
        <v>22</v>
      </c>
      <c r="E204" s="69">
        <v>2170</v>
      </c>
      <c r="F204" s="13">
        <f>D204*E204</f>
        <v>47740</v>
      </c>
      <c r="J204" s="62"/>
      <c r="K204" s="62"/>
    </row>
    <row r="205" spans="1:11" x14ac:dyDescent="0.2">
      <c r="B205" s="11" t="s">
        <v>91</v>
      </c>
      <c r="C205" s="12" t="s">
        <v>9</v>
      </c>
      <c r="D205" s="205">
        <v>3</v>
      </c>
      <c r="E205" s="69"/>
      <c r="F205" s="13"/>
      <c r="J205" s="62"/>
      <c r="K205" s="62"/>
    </row>
    <row r="206" spans="1:11" x14ac:dyDescent="0.2">
      <c r="B206" s="11" t="s">
        <v>62</v>
      </c>
      <c r="C206" s="12" t="s">
        <v>9</v>
      </c>
      <c r="D206" s="69">
        <f>D204*D205</f>
        <v>66</v>
      </c>
      <c r="E206" s="69">
        <v>720</v>
      </c>
      <c r="F206" s="13">
        <f>D206*E206</f>
        <v>47520</v>
      </c>
      <c r="J206" s="62"/>
      <c r="K206" s="62"/>
    </row>
    <row r="207" spans="1:11" x14ac:dyDescent="0.2">
      <c r="B207" s="213" t="s">
        <v>226</v>
      </c>
      <c r="C207" s="15" t="s">
        <v>22</v>
      </c>
      <c r="D207" s="243">
        <v>60000</v>
      </c>
      <c r="E207" s="61">
        <f>F204+F206</f>
        <v>95260</v>
      </c>
      <c r="F207" s="16">
        <f>IFERROR(E207/D207,"-")</f>
        <v>1.59</v>
      </c>
      <c r="J207" s="62"/>
      <c r="K207" s="62"/>
    </row>
    <row r="208" spans="1:11" ht="13.5" thickBot="1" x14ac:dyDescent="0.25">
      <c r="B208" s="14" t="s">
        <v>47</v>
      </c>
      <c r="C208" s="15" t="s">
        <v>15</v>
      </c>
      <c r="D208" s="228">
        <v>1936</v>
      </c>
      <c r="E208" s="61">
        <f>F207</f>
        <v>1.59</v>
      </c>
      <c r="F208" s="16">
        <f>IFERROR(D208*E208,0)</f>
        <v>3078.24</v>
      </c>
      <c r="J208" s="62"/>
      <c r="K208" s="62"/>
    </row>
    <row r="209" spans="2:11" ht="13.5" thickBot="1" x14ac:dyDescent="0.25">
      <c r="G209" s="19">
        <f>F208</f>
        <v>3078.24</v>
      </c>
      <c r="J209" s="62"/>
      <c r="K209" s="62"/>
    </row>
    <row r="210" spans="2:11" ht="17.25" customHeight="1" thickBot="1" x14ac:dyDescent="0.25">
      <c r="B210" s="298" t="s">
        <v>229</v>
      </c>
      <c r="C210" s="306"/>
      <c r="D210" s="306"/>
      <c r="E210" s="307"/>
      <c r="F210" s="308"/>
      <c r="G210" s="309">
        <f>G209+G201+G197+G179+G166+G129</f>
        <v>28522.98</v>
      </c>
      <c r="H210" s="216"/>
    </row>
    <row r="211" spans="2:11" ht="18" customHeight="1" x14ac:dyDescent="0.2">
      <c r="H211" s="216">
        <f>1790</f>
        <v>1790</v>
      </c>
      <c r="I211" s="62"/>
    </row>
    <row r="212" spans="2:11" ht="16.5" thickBot="1" x14ac:dyDescent="0.25">
      <c r="B212" s="314" t="s">
        <v>220</v>
      </c>
      <c r="C212" s="24"/>
      <c r="D212" s="24"/>
      <c r="E212" s="25"/>
      <c r="F212" s="25"/>
      <c r="G212" s="23"/>
      <c r="H212" s="7">
        <v>537</v>
      </c>
    </row>
    <row r="213" spans="2:11" ht="13.5" thickBot="1" x14ac:dyDescent="0.25">
      <c r="B213" s="43" t="s">
        <v>55</v>
      </c>
      <c r="C213" s="44" t="s">
        <v>56</v>
      </c>
      <c r="D213" s="44" t="s">
        <v>34</v>
      </c>
      <c r="E213" s="45" t="s">
        <v>196</v>
      </c>
      <c r="F213" s="45" t="s">
        <v>57</v>
      </c>
      <c r="G213" s="46" t="s">
        <v>58</v>
      </c>
      <c r="H213" s="7"/>
    </row>
    <row r="214" spans="2:11" x14ac:dyDescent="0.2">
      <c r="B214" s="14" t="s">
        <v>63</v>
      </c>
      <c r="C214" s="15" t="s">
        <v>9</v>
      </c>
      <c r="D214" s="293">
        <f>1/3</f>
        <v>0.33333333333333331</v>
      </c>
      <c r="E214" s="69">
        <v>86.25</v>
      </c>
      <c r="F214" s="16">
        <f>D214*E214</f>
        <v>28.75</v>
      </c>
      <c r="G214" s="40"/>
      <c r="H214" s="62"/>
      <c r="I214" s="62"/>
    </row>
    <row r="215" spans="2:11" x14ac:dyDescent="0.2">
      <c r="B215" s="14" t="s">
        <v>23</v>
      </c>
      <c r="C215" s="15" t="s">
        <v>9</v>
      </c>
      <c r="D215" s="293">
        <v>0.33333333333333331</v>
      </c>
      <c r="E215" s="69">
        <v>29.9</v>
      </c>
      <c r="F215" s="16">
        <f>D215*E215</f>
        <v>9.9700000000000006</v>
      </c>
      <c r="G215" s="40"/>
      <c r="H215" s="62"/>
      <c r="I215" s="62"/>
    </row>
    <row r="216" spans="2:11" x14ac:dyDescent="0.2">
      <c r="B216" s="213" t="s">
        <v>267</v>
      </c>
      <c r="C216" s="15" t="s">
        <v>9</v>
      </c>
      <c r="D216" s="293">
        <v>4</v>
      </c>
      <c r="E216" s="69">
        <v>690</v>
      </c>
      <c r="F216" s="16">
        <f>E216*D216</f>
        <v>2760</v>
      </c>
      <c r="G216" s="40"/>
      <c r="H216" s="62"/>
      <c r="I216" s="62"/>
    </row>
    <row r="217" spans="2:11" x14ac:dyDescent="0.2">
      <c r="B217" s="213" t="s">
        <v>268</v>
      </c>
      <c r="C217" s="15" t="s">
        <v>9</v>
      </c>
      <c r="D217" s="293">
        <v>2</v>
      </c>
      <c r="E217" s="69">
        <v>57.5</v>
      </c>
      <c r="F217" s="16">
        <f>E217*D217</f>
        <v>115</v>
      </c>
      <c r="G217" s="40"/>
      <c r="H217" s="62"/>
      <c r="I217" s="62"/>
    </row>
    <row r="218" spans="2:11" x14ac:dyDescent="0.2">
      <c r="B218" s="213" t="s">
        <v>269</v>
      </c>
      <c r="C218" s="15" t="s">
        <v>9</v>
      </c>
      <c r="D218" s="293">
        <v>2</v>
      </c>
      <c r="E218" s="69">
        <v>74.75</v>
      </c>
      <c r="F218" s="16">
        <f>E218*D218</f>
        <v>149.5</v>
      </c>
      <c r="G218" s="40"/>
      <c r="H218" s="62"/>
      <c r="I218" s="62"/>
    </row>
    <row r="219" spans="2:11" x14ac:dyDescent="0.2">
      <c r="B219" s="14" t="s">
        <v>24</v>
      </c>
      <c r="C219" s="15" t="s">
        <v>9</v>
      </c>
      <c r="D219" s="293">
        <v>4</v>
      </c>
      <c r="E219" s="69">
        <v>12.42</v>
      </c>
      <c r="F219" s="16">
        <f>D219*E219</f>
        <v>49.68</v>
      </c>
      <c r="G219" s="40"/>
      <c r="H219" s="62"/>
      <c r="I219" s="62"/>
    </row>
    <row r="220" spans="2:11" x14ac:dyDescent="0.2">
      <c r="B220" s="213" t="s">
        <v>307</v>
      </c>
      <c r="C220" s="15" t="s">
        <v>9</v>
      </c>
      <c r="D220" s="293">
        <v>4</v>
      </c>
      <c r="E220" s="69">
        <v>18</v>
      </c>
      <c r="F220" s="16">
        <f>E220*D220</f>
        <v>72</v>
      </c>
      <c r="G220" s="40"/>
      <c r="H220" s="62"/>
      <c r="I220" s="62"/>
    </row>
    <row r="221" spans="2:11" x14ac:dyDescent="0.2">
      <c r="B221" s="213" t="s">
        <v>227</v>
      </c>
      <c r="C221" s="214" t="s">
        <v>9</v>
      </c>
      <c r="D221" s="293">
        <v>2</v>
      </c>
      <c r="E221" s="69">
        <v>172.5</v>
      </c>
      <c r="F221" s="16">
        <v>750</v>
      </c>
      <c r="G221" s="40"/>
      <c r="H221" s="62"/>
      <c r="I221" s="62"/>
    </row>
    <row r="222" spans="2:11" x14ac:dyDescent="0.2">
      <c r="B222" s="213" t="s">
        <v>270</v>
      </c>
      <c r="C222" s="15" t="s">
        <v>49</v>
      </c>
      <c r="D222" s="293">
        <v>8.3333333333333329E-2</v>
      </c>
      <c r="E222" s="69">
        <v>800</v>
      </c>
      <c r="F222" s="16">
        <f>D222*E222</f>
        <v>66.67</v>
      </c>
      <c r="G222" s="40"/>
      <c r="H222" s="62"/>
      <c r="I222" s="62"/>
    </row>
    <row r="223" spans="2:11" ht="13.5" thickBot="1" x14ac:dyDescent="0.25">
      <c r="B223" s="14" t="s">
        <v>51</v>
      </c>
      <c r="C223" s="15" t="s">
        <v>49</v>
      </c>
      <c r="D223" s="293">
        <v>8.3333333333333329E-2</v>
      </c>
      <c r="E223" s="69">
        <v>1725</v>
      </c>
      <c r="F223" s="16">
        <f>D223*E223</f>
        <v>143.75</v>
      </c>
      <c r="G223" s="40"/>
      <c r="H223" s="62"/>
      <c r="I223" s="62"/>
    </row>
    <row r="224" spans="2:11" ht="13.5" thickBot="1" x14ac:dyDescent="0.25">
      <c r="B224" s="24"/>
      <c r="C224" s="24"/>
      <c r="D224" s="24"/>
      <c r="E224" s="24"/>
      <c r="F224" s="25"/>
      <c r="G224" s="19">
        <f>SUM(F214:F223)</f>
        <v>4145.32</v>
      </c>
      <c r="H224" s="7"/>
    </row>
    <row r="225" spans="1:11" ht="17.25" customHeight="1" thickBot="1" x14ac:dyDescent="0.25">
      <c r="B225" s="298" t="s">
        <v>230</v>
      </c>
      <c r="C225" s="306"/>
      <c r="D225" s="306"/>
      <c r="E225" s="307"/>
      <c r="F225" s="308"/>
      <c r="G225" s="309">
        <f>+G224</f>
        <v>4145.32</v>
      </c>
      <c r="H225" s="216"/>
    </row>
    <row r="226" spans="1:11" ht="11.25" customHeight="1" x14ac:dyDescent="0.2">
      <c r="H226" s="7"/>
    </row>
    <row r="227" spans="1:11" s="8" customFormat="1" ht="16.5" thickBot="1" x14ac:dyDescent="0.25">
      <c r="A227" s="7"/>
      <c r="B227" s="314" t="s">
        <v>64</v>
      </c>
      <c r="C227" s="24"/>
      <c r="D227" s="24"/>
      <c r="E227" s="25"/>
      <c r="F227" s="25"/>
      <c r="G227" s="23"/>
      <c r="I227" s="7"/>
      <c r="J227" s="7"/>
      <c r="K227" s="7"/>
    </row>
    <row r="228" spans="1:11" s="8" customFormat="1" ht="13.5" thickBot="1" x14ac:dyDescent="0.25">
      <c r="A228" s="7"/>
      <c r="B228" s="43" t="s">
        <v>55</v>
      </c>
      <c r="C228" s="44" t="s">
        <v>56</v>
      </c>
      <c r="D228" s="44" t="s">
        <v>34</v>
      </c>
      <c r="E228" s="45" t="s">
        <v>196</v>
      </c>
      <c r="F228" s="45" t="s">
        <v>57</v>
      </c>
      <c r="G228" s="46" t="s">
        <v>58</v>
      </c>
      <c r="I228" s="7"/>
      <c r="J228" s="7"/>
      <c r="K228" s="7"/>
    </row>
    <row r="229" spans="1:11" s="8" customFormat="1" x14ac:dyDescent="0.2">
      <c r="A229" s="7"/>
      <c r="B229" s="14" t="s">
        <v>184</v>
      </c>
      <c r="C229" s="38" t="s">
        <v>49</v>
      </c>
      <c r="D229" s="50">
        <f>D95</f>
        <v>1</v>
      </c>
      <c r="E229" s="244">
        <v>550</v>
      </c>
      <c r="F229" s="16">
        <f>+E229*D229</f>
        <v>550</v>
      </c>
      <c r="G229" s="40"/>
      <c r="I229" s="7"/>
      <c r="J229" s="7"/>
      <c r="K229" s="7"/>
    </row>
    <row r="230" spans="1:11" s="8" customFormat="1" x14ac:dyDescent="0.2">
      <c r="A230" s="7"/>
      <c r="B230" s="14" t="s">
        <v>52</v>
      </c>
      <c r="C230" s="38" t="s">
        <v>7</v>
      </c>
      <c r="D230" s="106">
        <v>12</v>
      </c>
      <c r="E230" s="244">
        <f>SUM(F229:F229)</f>
        <v>550</v>
      </c>
      <c r="F230" s="245">
        <f>+E230/D230</f>
        <v>45.83</v>
      </c>
      <c r="G230" s="40"/>
      <c r="I230" s="7"/>
      <c r="J230" s="7"/>
      <c r="K230" s="7"/>
    </row>
    <row r="231" spans="1:11" s="8" customFormat="1" x14ac:dyDescent="0.2">
      <c r="A231" s="7"/>
      <c r="B231" s="14" t="s">
        <v>185</v>
      </c>
      <c r="C231" s="15" t="s">
        <v>9</v>
      </c>
      <c r="D231" s="50">
        <f>+D229</f>
        <v>1</v>
      </c>
      <c r="E231" s="244">
        <v>350</v>
      </c>
      <c r="F231" s="16">
        <f>D231*E231</f>
        <v>350</v>
      </c>
      <c r="G231" s="40"/>
      <c r="I231" s="7"/>
      <c r="J231" s="7"/>
      <c r="K231" s="7"/>
    </row>
    <row r="232" spans="1:11" s="8" customFormat="1" ht="13.5" thickBot="1" x14ac:dyDescent="0.25">
      <c r="A232" s="7"/>
      <c r="B232" s="14" t="s">
        <v>31</v>
      </c>
      <c r="C232" s="38" t="s">
        <v>7</v>
      </c>
      <c r="D232" s="106">
        <v>1</v>
      </c>
      <c r="E232" s="245">
        <f>+F231</f>
        <v>350</v>
      </c>
      <c r="F232" s="245">
        <f>+E232/D232</f>
        <v>350</v>
      </c>
      <c r="G232" s="40"/>
      <c r="H232" s="281"/>
      <c r="I232" s="7"/>
      <c r="J232" s="7"/>
      <c r="K232" s="7"/>
    </row>
    <row r="233" spans="1:11" s="8" customFormat="1" ht="13.5" thickBot="1" x14ac:dyDescent="0.25">
      <c r="A233" s="7"/>
      <c r="B233" s="59"/>
      <c r="C233" s="59"/>
      <c r="D233" s="59"/>
      <c r="E233" s="80" t="s">
        <v>167</v>
      </c>
      <c r="F233" s="36">
        <f>$C$37</f>
        <v>1</v>
      </c>
      <c r="G233" s="60">
        <f>(F230+F232)*F233</f>
        <v>395.83</v>
      </c>
      <c r="I233" s="7"/>
      <c r="J233" s="7"/>
      <c r="K233" s="7"/>
    </row>
    <row r="234" spans="1:11" s="8" customFormat="1" ht="17.25" customHeight="1" thickBot="1" x14ac:dyDescent="0.25">
      <c r="A234" s="7"/>
      <c r="B234" s="298" t="s">
        <v>228</v>
      </c>
      <c r="C234" s="306"/>
      <c r="D234" s="306"/>
      <c r="E234" s="307"/>
      <c r="F234" s="308"/>
      <c r="G234" s="309">
        <f>+G233</f>
        <v>395.83</v>
      </c>
      <c r="I234" s="7"/>
      <c r="J234" s="7"/>
      <c r="K234" s="7"/>
    </row>
    <row r="235" spans="1:11" s="8" customFormat="1" ht="17.25" customHeight="1" x14ac:dyDescent="0.2">
      <c r="A235" s="7"/>
      <c r="B235" s="292"/>
      <c r="C235" s="292"/>
      <c r="D235" s="292"/>
      <c r="E235" s="21"/>
      <c r="F235" s="21"/>
      <c r="G235" s="23"/>
      <c r="I235" s="7"/>
      <c r="J235" s="7"/>
      <c r="K235" s="7"/>
    </row>
    <row r="236" spans="1:11" s="8" customFormat="1" ht="11.25" customHeight="1" thickBot="1" x14ac:dyDescent="0.25">
      <c r="A236" s="7"/>
      <c r="B236" s="7"/>
      <c r="C236" s="7"/>
      <c r="D236" s="7"/>
      <c r="I236" s="7"/>
      <c r="J236" s="7"/>
      <c r="K236" s="7"/>
    </row>
    <row r="237" spans="1:11" s="8" customFormat="1" ht="13.5" thickBot="1" x14ac:dyDescent="0.25">
      <c r="A237" s="7"/>
      <c r="B237" s="43" t="s">
        <v>55</v>
      </c>
      <c r="C237" s="44" t="s">
        <v>56</v>
      </c>
      <c r="D237" s="44" t="s">
        <v>34</v>
      </c>
      <c r="E237" s="45" t="s">
        <v>196</v>
      </c>
      <c r="F237" s="45" t="s">
        <v>57</v>
      </c>
      <c r="G237" s="46" t="s">
        <v>58</v>
      </c>
      <c r="I237" s="7"/>
      <c r="J237" s="7"/>
      <c r="K237" s="7"/>
    </row>
    <row r="238" spans="1:11" s="8" customFormat="1" x14ac:dyDescent="0.2">
      <c r="A238" s="7"/>
      <c r="B238" s="213" t="s">
        <v>301</v>
      </c>
      <c r="C238" s="38" t="s">
        <v>7</v>
      </c>
      <c r="D238" s="50">
        <v>1</v>
      </c>
      <c r="E238" s="244">
        <v>5900</v>
      </c>
      <c r="F238" s="16">
        <f>E238*D238</f>
        <v>5900</v>
      </c>
      <c r="G238" s="40"/>
      <c r="I238" s="7"/>
      <c r="J238" s="7"/>
      <c r="K238" s="7"/>
    </row>
    <row r="239" spans="1:11" s="8" customFormat="1" ht="13.5" thickBot="1" x14ac:dyDescent="0.25">
      <c r="A239" s="7"/>
      <c r="B239" s="14"/>
      <c r="C239" s="38"/>
      <c r="D239" s="106"/>
      <c r="E239" s="245"/>
      <c r="F239" s="245"/>
      <c r="G239" s="40"/>
      <c r="H239" s="281"/>
      <c r="I239" s="7"/>
      <c r="J239" s="7"/>
      <c r="K239" s="7"/>
    </row>
    <row r="240" spans="1:11" s="8" customFormat="1" ht="13.5" thickBot="1" x14ac:dyDescent="0.25">
      <c r="A240" s="7"/>
      <c r="B240" s="59"/>
      <c r="C240" s="59"/>
      <c r="D240" s="59"/>
      <c r="E240" s="80" t="s">
        <v>167</v>
      </c>
      <c r="F240" s="36">
        <v>1</v>
      </c>
      <c r="G240" s="60">
        <f>F240*F238</f>
        <v>5900</v>
      </c>
      <c r="I240" s="7"/>
      <c r="J240" s="7"/>
      <c r="K240" s="7"/>
    </row>
    <row r="241" spans="1:11" s="8" customFormat="1" ht="17.25" customHeight="1" thickBot="1" x14ac:dyDescent="0.25">
      <c r="A241" s="7"/>
      <c r="B241" s="298" t="s">
        <v>228</v>
      </c>
      <c r="C241" s="306"/>
      <c r="D241" s="306"/>
      <c r="E241" s="307"/>
      <c r="F241" s="308"/>
      <c r="G241" s="309">
        <f>+G240</f>
        <v>5900</v>
      </c>
      <c r="I241" s="7"/>
      <c r="J241" s="7"/>
      <c r="K241" s="7"/>
    </row>
    <row r="242" spans="1:11" s="8" customFormat="1" ht="17.25" customHeight="1" thickBot="1" x14ac:dyDescent="0.25">
      <c r="A242" s="7"/>
      <c r="B242" s="298" t="s">
        <v>186</v>
      </c>
      <c r="C242" s="303"/>
      <c r="D242" s="303"/>
      <c r="E242" s="304"/>
      <c r="F242" s="305"/>
      <c r="G242" s="302">
        <f>G234+G225+G210+G87+G73+G241</f>
        <v>53155.99</v>
      </c>
      <c r="I242" s="7"/>
      <c r="J242" s="7"/>
      <c r="K242" s="7"/>
    </row>
    <row r="243" spans="1:11" s="8" customFormat="1" ht="11.25" customHeight="1" x14ac:dyDescent="0.2">
      <c r="A243" s="7"/>
      <c r="B243" s="7"/>
      <c r="C243" s="7"/>
      <c r="D243" s="7"/>
      <c r="I243" s="7"/>
      <c r="J243" s="7"/>
      <c r="K243" s="7"/>
    </row>
    <row r="244" spans="1:11" s="8" customFormat="1" ht="16.5" thickBot="1" x14ac:dyDescent="0.25">
      <c r="A244" s="7"/>
      <c r="B244" s="313" t="s">
        <v>294</v>
      </c>
      <c r="C244" s="7"/>
      <c r="D244" s="7"/>
      <c r="I244" s="7"/>
      <c r="J244" s="7"/>
      <c r="K244" s="7"/>
    </row>
    <row r="245" spans="1:11" s="8" customFormat="1" x14ac:dyDescent="0.2">
      <c r="A245" s="7"/>
      <c r="B245" s="71" t="s">
        <v>55</v>
      </c>
      <c r="C245" s="72" t="s">
        <v>56</v>
      </c>
      <c r="D245" s="72" t="s">
        <v>34</v>
      </c>
      <c r="E245" s="73" t="s">
        <v>196</v>
      </c>
      <c r="F245" s="73" t="s">
        <v>57</v>
      </c>
      <c r="G245" s="315" t="s">
        <v>58</v>
      </c>
      <c r="I245" s="7"/>
      <c r="J245" s="7"/>
      <c r="K245" s="7"/>
    </row>
    <row r="246" spans="1:11" s="8" customFormat="1" x14ac:dyDescent="0.2">
      <c r="A246" s="7"/>
      <c r="B246" s="14" t="s">
        <v>30</v>
      </c>
      <c r="C246" s="15" t="s">
        <v>2</v>
      </c>
      <c r="D246" s="61">
        <v>26.03</v>
      </c>
      <c r="E246" s="16">
        <f>+G242</f>
        <v>53155.99</v>
      </c>
      <c r="F246" s="16">
        <f>D246*E246/100</f>
        <v>13836.5</v>
      </c>
      <c r="G246" s="36">
        <f>F246</f>
        <v>13836.5</v>
      </c>
      <c r="I246" s="7"/>
      <c r="J246" s="7"/>
      <c r="K246" s="7"/>
    </row>
    <row r="247" spans="1:11" ht="11.25" customHeight="1" thickBot="1" x14ac:dyDescent="0.25"/>
    <row r="248" spans="1:11" ht="13.5" thickBot="1" x14ac:dyDescent="0.25">
      <c r="B248" s="298" t="s">
        <v>200</v>
      </c>
      <c r="C248" s="299"/>
      <c r="D248" s="299"/>
      <c r="E248" s="300"/>
      <c r="F248" s="301"/>
      <c r="G248" s="302">
        <f>G246</f>
        <v>13836.5</v>
      </c>
    </row>
    <row r="249" spans="1:11" ht="20.45" customHeight="1" thickBot="1" x14ac:dyDescent="0.25">
      <c r="B249" s="24"/>
      <c r="C249" s="24"/>
      <c r="D249" s="24"/>
      <c r="E249" s="25"/>
      <c r="F249" s="25"/>
      <c r="G249" s="23"/>
    </row>
    <row r="250" spans="1:11" ht="24.75" customHeight="1" thickBot="1" x14ac:dyDescent="0.25">
      <c r="B250" s="316" t="s">
        <v>187</v>
      </c>
      <c r="C250" s="317"/>
      <c r="D250" s="317"/>
      <c r="E250" s="318"/>
      <c r="F250" s="319"/>
      <c r="G250" s="320">
        <f>G248+G234+G225+G210+G87+G73+G241</f>
        <v>66992.490000000005</v>
      </c>
      <c r="H250" s="8">
        <f>G248+G242</f>
        <v>66992.490000000005</v>
      </c>
    </row>
    <row r="251" spans="1:11" ht="18" customHeight="1" thickBot="1" x14ac:dyDescent="0.25">
      <c r="B251" s="316" t="s">
        <v>291</v>
      </c>
      <c r="C251" s="317"/>
      <c r="D251" s="317"/>
      <c r="E251" s="318"/>
      <c r="F251" s="319"/>
      <c r="G251" s="320">
        <v>1000</v>
      </c>
    </row>
    <row r="252" spans="1:11" ht="24.75" customHeight="1" thickBot="1" x14ac:dyDescent="0.25">
      <c r="B252" s="328" t="s">
        <v>264</v>
      </c>
      <c r="C252" s="329"/>
      <c r="D252" s="329"/>
      <c r="E252" s="330"/>
      <c r="F252" s="331"/>
      <c r="G252" s="332">
        <f>G250/G251</f>
        <v>66.989999999999995</v>
      </c>
      <c r="H252" s="8">
        <f>G250*12</f>
        <v>803909.88</v>
      </c>
    </row>
    <row r="253" spans="1:11" s="2" customFormat="1" ht="9.75" customHeight="1" x14ac:dyDescent="0.2">
      <c r="B253" s="27"/>
      <c r="C253" s="8"/>
      <c r="D253" s="8"/>
      <c r="E253" s="8"/>
      <c r="F253" s="8"/>
      <c r="G253" s="8"/>
      <c r="H253" s="4"/>
    </row>
    <row r="254" spans="1:11" s="9" customFormat="1" ht="23.45" customHeight="1" x14ac:dyDescent="0.2">
      <c r="B254" s="353" t="s">
        <v>308</v>
      </c>
      <c r="C254" s="353"/>
      <c r="D254" s="353"/>
      <c r="E254" s="353"/>
      <c r="F254" s="353"/>
      <c r="G254" s="353"/>
      <c r="H254" s="30"/>
    </row>
    <row r="255" spans="1:11" s="2" customFormat="1" ht="54" customHeight="1" x14ac:dyDescent="0.25">
      <c r="B255" s="352" t="s">
        <v>306</v>
      </c>
      <c r="C255" s="352"/>
      <c r="D255" s="352"/>
      <c r="E255" s="352"/>
      <c r="F255" s="352"/>
      <c r="G255" s="352"/>
      <c r="H255" s="4"/>
    </row>
    <row r="256" spans="1:11" x14ac:dyDescent="0.2">
      <c r="A256" s="351" t="s">
        <v>303</v>
      </c>
      <c r="B256" s="351"/>
      <c r="C256" s="351"/>
      <c r="D256" s="351"/>
      <c r="E256" s="351"/>
      <c r="F256" s="351"/>
      <c r="G256" s="351"/>
    </row>
    <row r="257" spans="1:7" x14ac:dyDescent="0.2">
      <c r="A257" s="351" t="s">
        <v>304</v>
      </c>
      <c r="B257" s="351"/>
      <c r="C257" s="351"/>
      <c r="D257" s="351"/>
      <c r="E257" s="351"/>
      <c r="F257" s="351"/>
      <c r="G257" s="351"/>
    </row>
    <row r="258" spans="1:7" x14ac:dyDescent="0.2">
      <c r="A258" s="351" t="s">
        <v>305</v>
      </c>
      <c r="B258" s="351"/>
      <c r="C258" s="351"/>
      <c r="D258" s="351"/>
      <c r="E258" s="351"/>
      <c r="F258" s="351"/>
      <c r="G258" s="351"/>
    </row>
    <row r="285" s="7" customFormat="1" ht="9" customHeight="1" x14ac:dyDescent="0.2"/>
  </sheetData>
  <mergeCells count="12">
    <mergeCell ref="A256:G256"/>
    <mergeCell ref="A257:G257"/>
    <mergeCell ref="A258:G258"/>
    <mergeCell ref="B255:G255"/>
    <mergeCell ref="B254:G254"/>
    <mergeCell ref="B34:E34"/>
    <mergeCell ref="B2:G2"/>
    <mergeCell ref="B3:G3"/>
    <mergeCell ref="B5:G5"/>
    <mergeCell ref="B13:D13"/>
    <mergeCell ref="B29:G29"/>
    <mergeCell ref="B30:E30"/>
  </mergeCells>
  <printOptions horizontalCentered="1"/>
  <pageMargins left="0.82677165354330717" right="0.51181102362204722" top="0.98425196850393704" bottom="0.98425196850393704" header="0.31496062992125984" footer="0.31496062992125984"/>
  <pageSetup paperSize="9" scale="65" fitToHeight="4" orientation="portrait" r:id="rId1"/>
  <headerFooter alignWithMargins="0">
    <oddFooter>&amp;R&amp;P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Normal="100" workbookViewId="0">
      <selection activeCell="C34" sqref="C34"/>
    </sheetView>
  </sheetViews>
  <sheetFormatPr defaultColWidth="9.140625" defaultRowHeight="12.75" x14ac:dyDescent="0.2"/>
  <cols>
    <col min="1" max="1" width="13.5703125" style="1" customWidth="1"/>
    <col min="2" max="2" width="36.7109375" style="1" bestFit="1" customWidth="1"/>
    <col min="3" max="3" width="14.5703125" style="1" customWidth="1"/>
    <col min="4" max="4" width="37.28515625" style="109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9"/>
    </row>
    <row r="2" spans="1:12" x14ac:dyDescent="0.2">
      <c r="A2" s="94"/>
    </row>
    <row r="3" spans="1:12" ht="13.5" thickBot="1" x14ac:dyDescent="0.25"/>
    <row r="4" spans="1:12" ht="18" x14ac:dyDescent="0.2">
      <c r="A4" s="354" t="s">
        <v>190</v>
      </c>
      <c r="B4" s="355"/>
      <c r="C4" s="356"/>
      <c r="D4" s="101"/>
      <c r="E4" s="101"/>
      <c r="F4" s="101"/>
    </row>
    <row r="5" spans="1:12" ht="14.25" x14ac:dyDescent="0.2">
      <c r="A5" s="121" t="s">
        <v>112</v>
      </c>
      <c r="B5" s="122" t="s">
        <v>113</v>
      </c>
      <c r="C5" s="123" t="s">
        <v>114</v>
      </c>
      <c r="D5" s="124"/>
    </row>
    <row r="6" spans="1:12" ht="14.25" x14ac:dyDescent="0.2">
      <c r="A6" s="121" t="s">
        <v>115</v>
      </c>
      <c r="B6" s="122" t="s">
        <v>35</v>
      </c>
      <c r="C6" s="125">
        <v>0.2</v>
      </c>
      <c r="D6" s="124"/>
      <c r="F6" s="109"/>
      <c r="G6" s="109"/>
      <c r="H6" s="109"/>
      <c r="I6" s="109"/>
      <c r="J6" s="109"/>
      <c r="K6" s="109"/>
      <c r="L6" s="109"/>
    </row>
    <row r="7" spans="1:12" ht="14.25" x14ac:dyDescent="0.2">
      <c r="A7" s="121" t="s">
        <v>116</v>
      </c>
      <c r="B7" s="122" t="s">
        <v>117</v>
      </c>
      <c r="C7" s="125">
        <v>1.4999999999999999E-2</v>
      </c>
      <c r="D7" s="124"/>
      <c r="F7" s="109"/>
      <c r="G7" s="109"/>
      <c r="H7" s="109"/>
      <c r="I7" s="109"/>
      <c r="J7" s="109"/>
      <c r="K7" s="109"/>
      <c r="L7" s="109"/>
    </row>
    <row r="8" spans="1:12" ht="14.25" x14ac:dyDescent="0.2">
      <c r="A8" s="121" t="s">
        <v>118</v>
      </c>
      <c r="B8" s="122" t="s">
        <v>119</v>
      </c>
      <c r="C8" s="125">
        <v>0.01</v>
      </c>
      <c r="D8" s="124"/>
      <c r="F8" s="109"/>
      <c r="G8" s="109"/>
      <c r="H8" s="109"/>
      <c r="I8" s="109"/>
      <c r="J8" s="109"/>
      <c r="K8" s="109"/>
      <c r="L8" s="109"/>
    </row>
    <row r="9" spans="1:12" ht="14.25" x14ac:dyDescent="0.2">
      <c r="A9" s="121" t="s">
        <v>120</v>
      </c>
      <c r="B9" s="122" t="s">
        <v>121</v>
      </c>
      <c r="C9" s="125">
        <v>2E-3</v>
      </c>
      <c r="D9" s="124"/>
      <c r="F9" s="109"/>
      <c r="G9" s="109"/>
      <c r="H9" s="109"/>
      <c r="I9" s="109"/>
      <c r="J9" s="109"/>
      <c r="K9" s="109"/>
      <c r="L9" s="109"/>
    </row>
    <row r="10" spans="1:12" ht="14.25" x14ac:dyDescent="0.2">
      <c r="A10" s="121" t="s">
        <v>122</v>
      </c>
      <c r="B10" s="122" t="s">
        <v>123</v>
      </c>
      <c r="C10" s="125">
        <v>6.0000000000000001E-3</v>
      </c>
      <c r="D10" s="124"/>
      <c r="F10" s="109"/>
      <c r="G10" s="109"/>
      <c r="H10" s="109"/>
      <c r="I10" s="109"/>
      <c r="J10" s="109"/>
      <c r="K10" s="109"/>
      <c r="L10" s="109"/>
    </row>
    <row r="11" spans="1:12" ht="14.25" x14ac:dyDescent="0.2">
      <c r="A11" s="121" t="s">
        <v>124</v>
      </c>
      <c r="B11" s="122" t="s">
        <v>125</v>
      </c>
      <c r="C11" s="125">
        <v>2.5000000000000001E-2</v>
      </c>
      <c r="D11" s="124"/>
      <c r="F11" s="109"/>
      <c r="G11" s="109"/>
      <c r="H11" s="109"/>
      <c r="I11" s="109"/>
      <c r="J11" s="109"/>
      <c r="K11" s="109"/>
      <c r="L11" s="109"/>
    </row>
    <row r="12" spans="1:12" ht="14.25" x14ac:dyDescent="0.2">
      <c r="A12" s="121" t="s">
        <v>126</v>
      </c>
      <c r="B12" s="122" t="s">
        <v>127</v>
      </c>
      <c r="C12" s="125">
        <v>0.03</v>
      </c>
      <c r="D12" s="124"/>
      <c r="F12" s="109"/>
      <c r="G12" s="109"/>
      <c r="H12" s="109"/>
      <c r="I12" s="109"/>
      <c r="J12" s="109"/>
      <c r="K12" s="109"/>
      <c r="L12" s="109"/>
    </row>
    <row r="13" spans="1:12" ht="14.25" x14ac:dyDescent="0.2">
      <c r="A13" s="121" t="s">
        <v>128</v>
      </c>
      <c r="B13" s="122" t="s">
        <v>36</v>
      </c>
      <c r="C13" s="125">
        <v>0.08</v>
      </c>
      <c r="D13" s="126"/>
      <c r="F13" s="109"/>
      <c r="G13" s="109"/>
      <c r="H13" s="109"/>
      <c r="I13" s="109"/>
      <c r="J13" s="109"/>
      <c r="K13" s="109"/>
      <c r="L13" s="109"/>
    </row>
    <row r="14" spans="1:12" ht="15" x14ac:dyDescent="0.2">
      <c r="A14" s="121" t="s">
        <v>129</v>
      </c>
      <c r="B14" s="127" t="s">
        <v>130</v>
      </c>
      <c r="C14" s="128">
        <f>SUM(C6:C13)</f>
        <v>0.36799999999999999</v>
      </c>
      <c r="D14" s="126"/>
      <c r="F14" s="109"/>
      <c r="G14" s="109"/>
      <c r="H14" s="109"/>
      <c r="I14" s="109"/>
      <c r="J14" s="109"/>
      <c r="K14" s="109"/>
      <c r="L14" s="109"/>
    </row>
    <row r="15" spans="1:12" ht="15" x14ac:dyDescent="0.2">
      <c r="A15" s="129"/>
      <c r="B15" s="130"/>
      <c r="C15" s="131"/>
      <c r="D15" s="126"/>
      <c r="F15" s="109"/>
      <c r="G15" s="109"/>
      <c r="H15" s="109"/>
      <c r="I15" s="109"/>
      <c r="J15" s="109"/>
      <c r="K15" s="109"/>
      <c r="L15" s="109"/>
    </row>
    <row r="16" spans="1:12" ht="14.25" x14ac:dyDescent="0.2">
      <c r="A16" s="121" t="s">
        <v>131</v>
      </c>
      <c r="B16" s="132" t="s">
        <v>132</v>
      </c>
      <c r="C16" s="125">
        <f>ROUND(IF('3.CAGED'!C35&gt;24,(1-12/'3.CAGED'!C35)*0.1111,0.1111-C25),4)</f>
        <v>5.74E-2</v>
      </c>
      <c r="D16" s="126"/>
      <c r="F16" s="109"/>
      <c r="G16" s="109"/>
      <c r="H16" s="109"/>
      <c r="I16" s="109"/>
      <c r="J16" s="109"/>
      <c r="K16" s="109"/>
      <c r="L16" s="109"/>
    </row>
    <row r="17" spans="1:12" ht="14.25" x14ac:dyDescent="0.2">
      <c r="A17" s="121" t="s">
        <v>133</v>
      </c>
      <c r="B17" s="132" t="s">
        <v>134</v>
      </c>
      <c r="C17" s="125">
        <f>ROUND('3.CAGED'!C29/'3.CAGED'!C26,4)</f>
        <v>8.3299999999999999E-2</v>
      </c>
      <c r="D17" s="126"/>
      <c r="F17" s="109"/>
      <c r="G17" s="109"/>
      <c r="H17" s="109"/>
      <c r="I17" s="109"/>
      <c r="J17" s="109"/>
      <c r="K17" s="109"/>
      <c r="L17" s="109"/>
    </row>
    <row r="18" spans="1:12" ht="14.25" x14ac:dyDescent="0.2">
      <c r="A18" s="121" t="s">
        <v>183</v>
      </c>
      <c r="B18" s="132" t="s">
        <v>136</v>
      </c>
      <c r="C18" s="125">
        <v>5.9999999999999995E-4</v>
      </c>
      <c r="D18" s="126"/>
      <c r="F18" s="109"/>
      <c r="G18" s="109"/>
      <c r="H18" s="109"/>
      <c r="I18" s="109"/>
      <c r="J18" s="109"/>
      <c r="K18" s="109"/>
      <c r="L18" s="109"/>
    </row>
    <row r="19" spans="1:12" ht="14.25" x14ac:dyDescent="0.2">
      <c r="A19" s="121" t="s">
        <v>135</v>
      </c>
      <c r="B19" s="132" t="s">
        <v>138</v>
      </c>
      <c r="C19" s="125">
        <v>8.2000000000000007E-3</v>
      </c>
      <c r="D19" s="126"/>
      <c r="F19" s="109"/>
      <c r="G19" s="109"/>
      <c r="H19" s="109"/>
      <c r="I19" s="109"/>
      <c r="J19" s="109"/>
      <c r="K19" s="109"/>
      <c r="L19" s="109"/>
    </row>
    <row r="20" spans="1:12" ht="14.25" x14ac:dyDescent="0.2">
      <c r="A20" s="121" t="s">
        <v>137</v>
      </c>
      <c r="B20" s="132" t="s">
        <v>140</v>
      </c>
      <c r="C20" s="125">
        <v>3.0999999999999999E-3</v>
      </c>
      <c r="D20" s="126"/>
      <c r="F20" s="109"/>
      <c r="G20" s="109"/>
      <c r="H20" s="109"/>
      <c r="I20" s="109"/>
      <c r="J20" s="109"/>
      <c r="K20" s="109"/>
      <c r="L20" s="109"/>
    </row>
    <row r="21" spans="1:12" ht="14.25" x14ac:dyDescent="0.2">
      <c r="A21" s="121" t="s">
        <v>139</v>
      </c>
      <c r="B21" s="132" t="s">
        <v>141</v>
      </c>
      <c r="C21" s="125">
        <v>1.66E-2</v>
      </c>
      <c r="D21" s="126"/>
      <c r="F21" s="109"/>
      <c r="G21" s="109"/>
      <c r="H21" s="109"/>
      <c r="I21" s="109"/>
      <c r="J21" s="109"/>
      <c r="K21" s="109"/>
      <c r="L21" s="109"/>
    </row>
    <row r="22" spans="1:12" ht="15" x14ac:dyDescent="0.2">
      <c r="A22" s="121" t="s">
        <v>142</v>
      </c>
      <c r="B22" s="127" t="s">
        <v>143</v>
      </c>
      <c r="C22" s="128">
        <f>SUM(C16:C21)</f>
        <v>0.16919999999999999</v>
      </c>
      <c r="D22" s="133"/>
      <c r="F22" s="109"/>
      <c r="G22" s="109"/>
      <c r="H22" s="109"/>
      <c r="I22" s="109"/>
      <c r="J22" s="109"/>
      <c r="K22" s="109"/>
      <c r="L22" s="109"/>
    </row>
    <row r="23" spans="1:12" ht="15" x14ac:dyDescent="0.2">
      <c r="A23" s="129"/>
      <c r="B23" s="130"/>
      <c r="C23" s="131"/>
      <c r="D23" s="133"/>
      <c r="F23" s="109"/>
      <c r="G23" s="109"/>
      <c r="H23" s="109"/>
      <c r="I23" s="109"/>
      <c r="J23" s="109"/>
      <c r="K23" s="109"/>
      <c r="L23" s="109"/>
    </row>
    <row r="24" spans="1:12" ht="14.25" x14ac:dyDescent="0.2">
      <c r="A24" s="121" t="s">
        <v>144</v>
      </c>
      <c r="B24" s="122" t="s">
        <v>145</v>
      </c>
      <c r="C24" s="125">
        <f>ROUND(('3.CAGED'!C34) *'3.CAGED'!C25/'3.CAGED'!C26,4)</f>
        <v>3.9E-2</v>
      </c>
      <c r="D24" s="126"/>
      <c r="E24" s="134"/>
      <c r="F24" s="109"/>
      <c r="G24" s="109"/>
      <c r="H24" s="109"/>
      <c r="I24" s="109"/>
      <c r="J24" s="109"/>
      <c r="K24" s="109"/>
      <c r="L24" s="109"/>
    </row>
    <row r="25" spans="1:12" ht="14.25" x14ac:dyDescent="0.2">
      <c r="A25" s="121" t="s">
        <v>182</v>
      </c>
      <c r="B25" s="122" t="s">
        <v>147</v>
      </c>
      <c r="C25" s="125">
        <f>ROUND(IF('3.CAGED'!C35&gt;12,12/'3.CAGED'!C35*0.1111,0.1111),4)</f>
        <v>5.3699999999999998E-2</v>
      </c>
      <c r="D25" s="126"/>
      <c r="F25" s="109"/>
      <c r="G25" s="109"/>
      <c r="H25" s="135"/>
      <c r="I25" s="109"/>
      <c r="J25" s="109"/>
      <c r="K25" s="109"/>
      <c r="L25" s="109"/>
    </row>
    <row r="26" spans="1:12" ht="14.25" x14ac:dyDescent="0.2">
      <c r="A26" s="121" t="s">
        <v>146</v>
      </c>
      <c r="B26" s="122" t="s">
        <v>149</v>
      </c>
      <c r="C26" s="125">
        <f>ROUND(('3.CAGED'!C28+'3.CAGED'!C27)/360*C24,4)</f>
        <v>4.3E-3</v>
      </c>
      <c r="D26" s="126"/>
      <c r="F26" s="109"/>
      <c r="G26" s="109"/>
      <c r="H26" s="109"/>
      <c r="I26" s="109"/>
      <c r="J26" s="109"/>
      <c r="K26" s="109"/>
      <c r="L26" s="109"/>
    </row>
    <row r="27" spans="1:12" ht="14.25" x14ac:dyDescent="0.2">
      <c r="A27" s="121" t="s">
        <v>148</v>
      </c>
      <c r="B27" s="122" t="s">
        <v>151</v>
      </c>
      <c r="C27" s="125">
        <f>ROUND(('3.CAGED'!C26+'3.CAGED'!C27+'3.CAGED'!C29)/'3.CAGED'!C24*'3.CAGED'!C31*'3.CAGED'!C32*'3.CAGED'!C25/'3.CAGED'!C26,4)</f>
        <v>3.5900000000000001E-2</v>
      </c>
      <c r="D27" s="126"/>
      <c r="F27" s="109"/>
      <c r="G27" s="136"/>
      <c r="H27" s="109"/>
      <c r="I27" s="109"/>
      <c r="J27" s="109"/>
      <c r="K27" s="109"/>
      <c r="L27" s="109"/>
    </row>
    <row r="28" spans="1:12" ht="14.25" x14ac:dyDescent="0.2">
      <c r="A28" s="121" t="s">
        <v>150</v>
      </c>
      <c r="B28" s="122" t="s">
        <v>152</v>
      </c>
      <c r="C28" s="125">
        <f>ROUND(('3.CAGED'!C28/'3.CAGED'!C26)*'3.CAGED'!C25/12,4)</f>
        <v>2.7000000000000001E-3</v>
      </c>
      <c r="D28" s="126"/>
      <c r="F28" s="109"/>
      <c r="G28" s="109"/>
      <c r="H28" s="109"/>
      <c r="I28" s="109"/>
      <c r="J28" s="109"/>
      <c r="K28" s="109"/>
      <c r="L28" s="109"/>
    </row>
    <row r="29" spans="1:12" ht="15" x14ac:dyDescent="0.2">
      <c r="A29" s="121" t="s">
        <v>153</v>
      </c>
      <c r="B29" s="127" t="s">
        <v>154</v>
      </c>
      <c r="C29" s="128">
        <f>SUM(C24:C28)</f>
        <v>0.1356</v>
      </c>
      <c r="D29" s="133"/>
      <c r="F29" s="109"/>
      <c r="G29" s="109"/>
      <c r="H29" s="109"/>
      <c r="I29" s="109"/>
      <c r="J29" s="109"/>
      <c r="K29" s="109"/>
      <c r="L29" s="109"/>
    </row>
    <row r="30" spans="1:12" ht="15" x14ac:dyDescent="0.2">
      <c r="A30" s="129"/>
      <c r="B30" s="130"/>
      <c r="C30" s="131"/>
      <c r="D30" s="133"/>
      <c r="F30" s="109"/>
      <c r="G30" s="109"/>
      <c r="H30" s="109"/>
      <c r="I30" s="109"/>
      <c r="J30" s="109"/>
      <c r="K30" s="109"/>
      <c r="L30" s="109"/>
    </row>
    <row r="31" spans="1:12" ht="14.25" x14ac:dyDescent="0.2">
      <c r="A31" s="121" t="s">
        <v>155</v>
      </c>
      <c r="B31" s="122" t="s">
        <v>156</v>
      </c>
      <c r="C31" s="125">
        <f>ROUND(C14*C22,4)</f>
        <v>6.2300000000000001E-2</v>
      </c>
      <c r="D31" s="126"/>
      <c r="F31" s="109"/>
      <c r="G31" s="109"/>
      <c r="H31" s="109"/>
      <c r="I31" s="109"/>
      <c r="J31" s="109"/>
      <c r="K31" s="109"/>
      <c r="L31" s="109"/>
    </row>
    <row r="32" spans="1:12" ht="28.5" x14ac:dyDescent="0.2">
      <c r="A32" s="121" t="s">
        <v>157</v>
      </c>
      <c r="B32" s="137" t="s">
        <v>158</v>
      </c>
      <c r="C32" s="125">
        <f>ROUND((C24*C14),4)</f>
        <v>1.44E-2</v>
      </c>
      <c r="D32" s="126"/>
      <c r="F32" s="109"/>
      <c r="G32" s="109"/>
      <c r="H32" s="109"/>
      <c r="I32" s="109"/>
      <c r="J32" s="109"/>
      <c r="K32" s="109"/>
      <c r="L32" s="109"/>
    </row>
    <row r="33" spans="1:12" ht="15" x14ac:dyDescent="0.2">
      <c r="A33" s="121" t="s">
        <v>159</v>
      </c>
      <c r="B33" s="127" t="s">
        <v>160</v>
      </c>
      <c r="C33" s="128">
        <f>SUM(C31:C32)</f>
        <v>7.6700000000000004E-2</v>
      </c>
      <c r="D33" s="138"/>
      <c r="F33" s="109"/>
      <c r="G33" s="109"/>
      <c r="H33" s="109"/>
      <c r="I33" s="109"/>
      <c r="J33" s="109"/>
      <c r="K33" s="109"/>
      <c r="L33" s="109"/>
    </row>
    <row r="34" spans="1:12" ht="15.75" thickBot="1" x14ac:dyDescent="0.25">
      <c r="A34" s="139"/>
      <c r="B34" s="140" t="s">
        <v>161</v>
      </c>
      <c r="C34" s="141">
        <f>C33+C29+C22+C14</f>
        <v>0.74950000000000006</v>
      </c>
      <c r="D34" s="138"/>
      <c r="F34" s="109"/>
      <c r="G34" s="109"/>
      <c r="H34" s="109"/>
      <c r="I34" s="109"/>
      <c r="J34" s="109"/>
      <c r="K34" s="109"/>
      <c r="L34" s="109"/>
    </row>
    <row r="35" spans="1:12" ht="15" x14ac:dyDescent="0.2">
      <c r="A35" s="126"/>
      <c r="B35" s="142"/>
      <c r="C35" s="143"/>
      <c r="D35" s="144"/>
      <c r="F35" s="109"/>
      <c r="G35" s="109"/>
      <c r="H35" s="109"/>
      <c r="I35" s="109"/>
      <c r="J35" s="109"/>
      <c r="K35" s="109"/>
      <c r="L35" s="109"/>
    </row>
    <row r="36" spans="1:12" ht="14.25" x14ac:dyDescent="0.2">
      <c r="A36" s="126"/>
      <c r="B36" s="126"/>
      <c r="C36" s="145"/>
      <c r="D36" s="146"/>
      <c r="F36" s="109"/>
      <c r="G36" s="109"/>
      <c r="H36" s="109"/>
      <c r="I36" s="109"/>
      <c r="J36" s="109"/>
      <c r="K36" s="109"/>
      <c r="L36" s="109"/>
    </row>
    <row r="37" spans="1:12" ht="14.25" x14ac:dyDescent="0.2">
      <c r="A37" s="124"/>
      <c r="B37" s="124"/>
      <c r="C37" s="147"/>
      <c r="D37" s="124"/>
      <c r="F37" s="109"/>
      <c r="G37" s="109"/>
      <c r="H37" s="109"/>
      <c r="I37" s="109"/>
      <c r="J37" s="109"/>
      <c r="K37" s="109"/>
      <c r="L37" s="109"/>
    </row>
    <row r="38" spans="1:12" ht="14.25" x14ac:dyDescent="0.2">
      <c r="A38" s="124"/>
      <c r="B38" s="124"/>
      <c r="C38" s="147"/>
      <c r="D38" s="124"/>
      <c r="F38" s="109"/>
      <c r="G38" s="109"/>
      <c r="H38" s="109"/>
      <c r="I38" s="109"/>
      <c r="J38" s="109"/>
      <c r="K38" s="109"/>
      <c r="L38" s="109"/>
    </row>
    <row r="39" spans="1:12" ht="14.25" x14ac:dyDescent="0.2">
      <c r="A39" s="124"/>
      <c r="B39" s="124"/>
      <c r="C39" s="147"/>
      <c r="D39" s="124"/>
      <c r="F39" s="109"/>
      <c r="G39" s="109"/>
      <c r="H39" s="109"/>
      <c r="I39" s="109"/>
      <c r="J39" s="109"/>
      <c r="K39" s="109"/>
      <c r="L39" s="109"/>
    </row>
    <row r="40" spans="1:12" ht="15" x14ac:dyDescent="0.2">
      <c r="A40" s="124"/>
      <c r="B40" s="148"/>
      <c r="C40" s="149"/>
      <c r="D40" s="124"/>
      <c r="F40" s="109"/>
      <c r="G40" s="109"/>
      <c r="H40" s="109"/>
      <c r="I40" s="109"/>
      <c r="J40" s="109"/>
      <c r="K40" s="109"/>
      <c r="L40" s="109"/>
    </row>
    <row r="41" spans="1:12" ht="15" x14ac:dyDescent="0.2">
      <c r="A41" s="138"/>
      <c r="B41" s="148"/>
      <c r="C41" s="149"/>
      <c r="D41" s="138"/>
      <c r="E41" s="109"/>
      <c r="F41" s="109"/>
      <c r="G41" s="109"/>
      <c r="H41" s="109"/>
      <c r="I41" s="109"/>
      <c r="J41" s="109"/>
      <c r="K41" s="109"/>
      <c r="L41" s="109"/>
    </row>
    <row r="42" spans="1:12" ht="16.5" x14ac:dyDescent="0.2">
      <c r="A42" s="150"/>
      <c r="B42" s="109"/>
      <c r="C42" s="109"/>
      <c r="E42" s="109"/>
      <c r="F42" s="109"/>
      <c r="G42" s="109"/>
      <c r="H42" s="109"/>
      <c r="I42" s="109"/>
      <c r="J42" s="109"/>
      <c r="K42" s="109"/>
      <c r="L42" s="109"/>
    </row>
    <row r="43" spans="1:12" x14ac:dyDescent="0.2">
      <c r="A43" s="151"/>
      <c r="B43" s="152"/>
      <c r="C43" s="152"/>
      <c r="E43" s="109"/>
      <c r="F43" s="109"/>
      <c r="G43" s="109"/>
      <c r="H43" s="109"/>
      <c r="I43" s="109"/>
      <c r="J43" s="109"/>
      <c r="K43" s="109"/>
      <c r="L43" s="109"/>
    </row>
    <row r="44" spans="1:12" ht="14.25" x14ac:dyDescent="0.2">
      <c r="A44" s="124"/>
      <c r="B44" s="153"/>
      <c r="C44" s="152"/>
      <c r="E44" s="109"/>
      <c r="F44" s="109"/>
      <c r="G44" s="109"/>
      <c r="H44" s="109"/>
      <c r="I44" s="109"/>
      <c r="J44" s="109"/>
      <c r="K44" s="109"/>
      <c r="L44" s="109"/>
    </row>
    <row r="45" spans="1:12" ht="14.25" x14ac:dyDescent="0.2">
      <c r="A45" s="124"/>
      <c r="B45" s="153"/>
      <c r="C45" s="124"/>
      <c r="E45" s="109"/>
      <c r="F45" s="109"/>
      <c r="G45" s="109"/>
      <c r="H45" s="109"/>
      <c r="I45" s="109"/>
      <c r="J45" s="109"/>
      <c r="K45" s="109"/>
      <c r="L45" s="109"/>
    </row>
    <row r="46" spans="1:12" ht="14.25" x14ac:dyDescent="0.2">
      <c r="A46" s="124"/>
      <c r="B46" s="147"/>
      <c r="C46" s="152"/>
      <c r="E46" s="109"/>
      <c r="F46" s="109"/>
      <c r="G46" s="109"/>
      <c r="H46" s="109"/>
      <c r="I46" s="109"/>
      <c r="J46" s="109"/>
      <c r="K46" s="109"/>
      <c r="L46" s="109"/>
    </row>
    <row r="47" spans="1:12" ht="14.25" x14ac:dyDescent="0.2">
      <c r="A47" s="124"/>
      <c r="B47" s="153"/>
      <c r="C47" s="124"/>
      <c r="E47" s="109"/>
      <c r="F47" s="109"/>
      <c r="G47" s="109"/>
      <c r="H47" s="109"/>
      <c r="I47" s="109"/>
      <c r="J47" s="109"/>
      <c r="K47" s="109"/>
      <c r="L47" s="109"/>
    </row>
    <row r="48" spans="1:12" ht="14.25" x14ac:dyDescent="0.2">
      <c r="A48" s="124"/>
      <c r="B48" s="147"/>
      <c r="C48" s="152"/>
      <c r="E48" s="109"/>
      <c r="F48" s="109"/>
      <c r="G48" s="109"/>
      <c r="H48" s="109"/>
      <c r="I48" s="109"/>
      <c r="J48" s="109"/>
      <c r="K48" s="109"/>
      <c r="L48" s="109"/>
    </row>
    <row r="49" spans="1:12" ht="14.25" x14ac:dyDescent="0.2">
      <c r="A49" s="124"/>
      <c r="B49" s="153"/>
      <c r="C49" s="124"/>
      <c r="E49" s="109"/>
      <c r="F49" s="109"/>
      <c r="G49" s="109"/>
      <c r="H49" s="109"/>
      <c r="I49" s="109"/>
      <c r="J49" s="109"/>
      <c r="K49" s="109"/>
      <c r="L49" s="109"/>
    </row>
    <row r="50" spans="1:12" ht="14.25" x14ac:dyDescent="0.2">
      <c r="A50" s="124"/>
      <c r="B50" s="147"/>
      <c r="C50" s="152"/>
      <c r="E50" s="109"/>
      <c r="F50" s="109"/>
      <c r="G50" s="109"/>
      <c r="H50" s="109"/>
      <c r="I50" s="109"/>
      <c r="J50" s="109"/>
      <c r="K50" s="109"/>
      <c r="L50" s="109"/>
    </row>
    <row r="51" spans="1:12" ht="14.25" x14ac:dyDescent="0.2">
      <c r="A51" s="124"/>
      <c r="B51" s="153"/>
      <c r="C51" s="124"/>
      <c r="E51" s="109"/>
      <c r="F51" s="109"/>
      <c r="G51" s="109"/>
      <c r="H51" s="109"/>
      <c r="I51" s="109"/>
      <c r="J51" s="109"/>
      <c r="K51" s="109"/>
      <c r="L51" s="109"/>
    </row>
    <row r="52" spans="1:12" ht="14.25" x14ac:dyDescent="0.2">
      <c r="A52" s="124"/>
      <c r="B52" s="147"/>
      <c r="C52" s="152"/>
      <c r="E52" s="109"/>
      <c r="F52" s="109"/>
      <c r="G52" s="109"/>
      <c r="H52" s="109"/>
      <c r="I52" s="109"/>
      <c r="J52" s="109"/>
      <c r="K52" s="109"/>
      <c r="L52" s="109"/>
    </row>
    <row r="53" spans="1:12" ht="16.5" x14ac:dyDescent="0.2">
      <c r="A53" s="150"/>
      <c r="B53" s="109"/>
      <c r="C53" s="109"/>
      <c r="E53" s="109"/>
      <c r="F53" s="109"/>
      <c r="G53" s="109"/>
      <c r="H53" s="109"/>
      <c r="I53" s="109"/>
      <c r="J53" s="109"/>
      <c r="K53" s="109"/>
      <c r="L53" s="109"/>
    </row>
    <row r="54" spans="1:12" x14ac:dyDescent="0.2">
      <c r="A54" s="109"/>
      <c r="B54" s="109"/>
      <c r="C54" s="109"/>
      <c r="E54" s="109"/>
      <c r="F54" s="109"/>
      <c r="G54" s="109"/>
      <c r="H54" s="109"/>
      <c r="I54" s="109"/>
      <c r="J54" s="109"/>
      <c r="K54" s="109"/>
      <c r="L54" s="109"/>
    </row>
    <row r="55" spans="1:12" x14ac:dyDescent="0.2">
      <c r="A55" s="109"/>
      <c r="B55" s="109"/>
      <c r="C55" s="109"/>
      <c r="E55" s="109"/>
      <c r="F55" s="109"/>
      <c r="G55" s="109"/>
      <c r="H55" s="109"/>
      <c r="I55" s="109"/>
      <c r="J55" s="109"/>
      <c r="K55" s="109"/>
      <c r="L55" s="109"/>
    </row>
    <row r="56" spans="1:12" x14ac:dyDescent="0.2">
      <c r="A56" s="154"/>
      <c r="B56" s="109"/>
      <c r="C56" s="109"/>
      <c r="E56" s="109"/>
      <c r="F56" s="109"/>
      <c r="G56" s="109"/>
      <c r="H56" s="109"/>
      <c r="I56" s="109"/>
      <c r="J56" s="109"/>
      <c r="K56" s="109"/>
      <c r="L56" s="109"/>
    </row>
    <row r="57" spans="1:12" x14ac:dyDescent="0.2">
      <c r="A57" s="109"/>
      <c r="B57" s="109"/>
      <c r="C57" s="109"/>
      <c r="E57" s="109"/>
    </row>
    <row r="58" spans="1:12" x14ac:dyDescent="0.2">
      <c r="A58" s="109"/>
      <c r="B58" s="109"/>
      <c r="C58" s="109"/>
      <c r="E58" s="109"/>
    </row>
    <row r="59" spans="1:12" x14ac:dyDescent="0.2">
      <c r="A59" s="109"/>
      <c r="B59" s="109"/>
      <c r="C59" s="109"/>
      <c r="E59" s="109"/>
    </row>
    <row r="60" spans="1:12" x14ac:dyDescent="0.2">
      <c r="A60" s="109"/>
      <c r="B60" s="109"/>
      <c r="C60" s="109"/>
      <c r="E60" s="109"/>
    </row>
    <row r="61" spans="1:12" x14ac:dyDescent="0.2">
      <c r="A61" s="109"/>
      <c r="B61" s="109"/>
      <c r="C61" s="109"/>
      <c r="E61" s="109"/>
    </row>
    <row r="62" spans="1:12" x14ac:dyDescent="0.2">
      <c r="A62" s="109"/>
      <c r="B62" s="109"/>
      <c r="C62" s="109"/>
      <c r="E62" s="109"/>
    </row>
    <row r="63" spans="1:12" x14ac:dyDescent="0.2">
      <c r="A63" s="109"/>
      <c r="B63" s="109"/>
      <c r="C63" s="109"/>
      <c r="E63" s="109"/>
    </row>
    <row r="64" spans="1:12" x14ac:dyDescent="0.2">
      <c r="A64" s="109"/>
      <c r="B64" s="109"/>
      <c r="C64" s="109"/>
      <c r="E64" s="109"/>
    </row>
    <row r="65" spans="1:5" x14ac:dyDescent="0.2">
      <c r="A65" s="109"/>
      <c r="B65" s="109"/>
      <c r="C65" s="109"/>
      <c r="E65" s="109"/>
    </row>
  </sheetData>
  <mergeCells count="1">
    <mergeCell ref="A4:C4"/>
  </mergeCells>
  <printOptions horizontalCentered="1" verticalCentered="1"/>
  <pageMargins left="0.9055118110236221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"/>
  <sheetViews>
    <sheetView zoomScaleNormal="100" workbookViewId="0">
      <selection activeCell="B18" sqref="B18"/>
    </sheetView>
  </sheetViews>
  <sheetFormatPr defaultColWidth="9.140625"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hidden="1" customWidth="1"/>
    <col min="5" max="5" width="13.7109375" style="1" hidden="1" customWidth="1"/>
    <col min="6" max="6" width="14.42578125" style="1" hidden="1" customWidth="1"/>
    <col min="7" max="7" width="12.7109375" style="1" hidden="1" customWidth="1"/>
    <col min="8" max="8" width="4.42578125" style="1" hidden="1" customWidth="1"/>
    <col min="9" max="9" width="6.85546875" style="1" hidden="1" customWidth="1"/>
    <col min="10" max="10" width="3.28515625" style="1" hidden="1" customWidth="1"/>
    <col min="11" max="11" width="0" style="1" hidden="1" customWidth="1"/>
    <col min="12" max="16384" width="9.140625" style="1"/>
  </cols>
  <sheetData>
    <row r="1" spans="1:3" x14ac:dyDescent="0.2">
      <c r="A1" s="70" t="s">
        <v>201</v>
      </c>
    </row>
    <row r="3" spans="1:3" x14ac:dyDescent="0.2">
      <c r="A3" s="1" t="s">
        <v>174</v>
      </c>
    </row>
    <row r="4" spans="1:3" x14ac:dyDescent="0.2">
      <c r="A4" s="207" t="s">
        <v>173</v>
      </c>
    </row>
    <row r="5" spans="1:3" ht="25.5" customHeight="1" x14ac:dyDescent="0.2">
      <c r="A5" s="359" t="s">
        <v>209</v>
      </c>
      <c r="B5" s="360"/>
      <c r="C5" s="360"/>
    </row>
    <row r="6" spans="1:3" ht="13.5" thickBot="1" x14ac:dyDescent="0.25"/>
    <row r="7" spans="1:3" ht="18" x14ac:dyDescent="0.25">
      <c r="B7" s="357" t="s">
        <v>188</v>
      </c>
      <c r="C7" s="358"/>
    </row>
    <row r="8" spans="1:3" ht="15" x14ac:dyDescent="0.25">
      <c r="A8" s="109"/>
      <c r="B8" s="108" t="s">
        <v>172</v>
      </c>
      <c r="C8" s="155"/>
    </row>
    <row r="9" spans="1:3" ht="15" x14ac:dyDescent="0.25">
      <c r="A9" s="109"/>
      <c r="B9" s="110" t="s">
        <v>93</v>
      </c>
      <c r="C9" s="283">
        <v>2486</v>
      </c>
    </row>
    <row r="10" spans="1:3" ht="15" x14ac:dyDescent="0.25">
      <c r="A10" s="109"/>
      <c r="B10" s="111" t="s">
        <v>94</v>
      </c>
      <c r="C10" s="283">
        <v>3303</v>
      </c>
    </row>
    <row r="11" spans="1:3" ht="14.25" x14ac:dyDescent="0.2">
      <c r="A11" s="109"/>
      <c r="B11" s="156" t="s">
        <v>95</v>
      </c>
      <c r="C11" s="284">
        <v>81</v>
      </c>
    </row>
    <row r="12" spans="1:3" ht="14.25" x14ac:dyDescent="0.2">
      <c r="A12" s="109"/>
      <c r="B12" s="156" t="s">
        <v>96</v>
      </c>
      <c r="C12" s="284">
        <v>2336</v>
      </c>
    </row>
    <row r="13" spans="1:3" ht="14.25" x14ac:dyDescent="0.2">
      <c r="A13" s="109"/>
      <c r="B13" s="156" t="s">
        <v>97</v>
      </c>
      <c r="C13" s="284">
        <v>342</v>
      </c>
    </row>
    <row r="14" spans="1:3" ht="14.25" x14ac:dyDescent="0.2">
      <c r="A14" s="109"/>
      <c r="B14" s="156" t="s">
        <v>98</v>
      </c>
      <c r="C14" s="284">
        <v>18</v>
      </c>
    </row>
    <row r="15" spans="1:3" ht="14.25" x14ac:dyDescent="0.2">
      <c r="A15" s="109"/>
      <c r="B15" s="156" t="s">
        <v>99</v>
      </c>
      <c r="C15" s="284">
        <v>500</v>
      </c>
    </row>
    <row r="16" spans="1:3" ht="14.25" x14ac:dyDescent="0.2">
      <c r="A16" s="109"/>
      <c r="B16" s="156" t="s">
        <v>100</v>
      </c>
      <c r="C16" s="284">
        <v>1</v>
      </c>
    </row>
    <row r="17" spans="1:11" ht="14.25" x14ac:dyDescent="0.2">
      <c r="A17" s="109"/>
      <c r="B17" s="156" t="s">
        <v>101</v>
      </c>
      <c r="C17" s="284">
        <v>25</v>
      </c>
    </row>
    <row r="18" spans="1:11" ht="14.25" x14ac:dyDescent="0.2">
      <c r="A18" s="109"/>
      <c r="B18" s="157" t="s">
        <v>102</v>
      </c>
      <c r="C18" s="285">
        <v>0</v>
      </c>
    </row>
    <row r="19" spans="1:11" ht="15" x14ac:dyDescent="0.25">
      <c r="A19" s="109" t="s">
        <v>103</v>
      </c>
      <c r="B19" s="108" t="s">
        <v>104</v>
      </c>
      <c r="C19" s="286"/>
    </row>
    <row r="20" spans="1:11" ht="14.25" x14ac:dyDescent="0.2">
      <c r="A20" s="109"/>
      <c r="B20" s="158" t="s">
        <v>215</v>
      </c>
      <c r="C20" s="287">
        <v>6400</v>
      </c>
    </row>
    <row r="21" spans="1:11" ht="14.25" x14ac:dyDescent="0.2">
      <c r="A21" s="109"/>
      <c r="B21" s="156" t="s">
        <v>216</v>
      </c>
      <c r="C21" s="284">
        <v>5583</v>
      </c>
    </row>
    <row r="22" spans="1:11" ht="14.25" x14ac:dyDescent="0.2">
      <c r="B22" s="156" t="s">
        <v>217</v>
      </c>
      <c r="C22" s="284">
        <v>-817</v>
      </c>
    </row>
    <row r="23" spans="1:11" ht="14.25" x14ac:dyDescent="0.2">
      <c r="B23" s="159"/>
      <c r="C23" s="288"/>
    </row>
    <row r="24" spans="1:11" ht="15" x14ac:dyDescent="0.25">
      <c r="B24" s="112" t="s">
        <v>105</v>
      </c>
      <c r="C24" s="289">
        <f>MEDIAN(C9,C10)/MEDIAN(C20,C21)</f>
        <v>0.48309999999999997</v>
      </c>
      <c r="G24" s="1">
        <f>12/C24</f>
        <v>24.8395777271786</v>
      </c>
    </row>
    <row r="25" spans="1:11" ht="15" x14ac:dyDescent="0.25">
      <c r="B25" s="110" t="s">
        <v>106</v>
      </c>
      <c r="C25" s="208">
        <f>C12/MEDIAN(C20,C21)</f>
        <v>0.38990000000000002</v>
      </c>
    </row>
    <row r="26" spans="1:11" ht="15" x14ac:dyDescent="0.25">
      <c r="B26" s="114" t="s">
        <v>107</v>
      </c>
      <c r="C26" s="113">
        <v>360</v>
      </c>
    </row>
    <row r="27" spans="1:11" ht="15" x14ac:dyDescent="0.25">
      <c r="B27" s="110" t="s">
        <v>202</v>
      </c>
      <c r="C27" s="113">
        <v>10</v>
      </c>
    </row>
    <row r="28" spans="1:11" ht="15" x14ac:dyDescent="0.25">
      <c r="B28" s="110" t="s">
        <v>203</v>
      </c>
      <c r="C28" s="113">
        <v>30</v>
      </c>
      <c r="G28" s="1">
        <f>TRUNC(G33)</f>
        <v>0</v>
      </c>
    </row>
    <row r="29" spans="1:11" ht="15" x14ac:dyDescent="0.25">
      <c r="B29" s="110" t="s">
        <v>204</v>
      </c>
      <c r="C29" s="113">
        <v>30</v>
      </c>
    </row>
    <row r="30" spans="1:11" s="70" customFormat="1" ht="15" x14ac:dyDescent="0.25">
      <c r="B30" s="110" t="s">
        <v>108</v>
      </c>
      <c r="C30" s="160">
        <f>MEDIAN(C20,C21)</f>
        <v>5991.5</v>
      </c>
    </row>
    <row r="31" spans="1:11" s="70" customFormat="1" ht="15" x14ac:dyDescent="0.25">
      <c r="B31" s="110" t="s">
        <v>36</v>
      </c>
      <c r="C31" s="161">
        <v>0.08</v>
      </c>
      <c r="K31" s="70">
        <f>IF(C35&gt;12,C35-12,C35)</f>
        <v>12.839600000000001</v>
      </c>
    </row>
    <row r="32" spans="1:11" s="70" customFormat="1" ht="15" x14ac:dyDescent="0.25">
      <c r="B32" s="110" t="s">
        <v>109</v>
      </c>
      <c r="C32" s="161">
        <v>0.5</v>
      </c>
      <c r="K32" s="70" t="e">
        <f>IF(#REF!&gt;12,#REF!-12,#REF!)</f>
        <v>#REF!</v>
      </c>
    </row>
    <row r="33" spans="2:11" s="70" customFormat="1" ht="15" x14ac:dyDescent="0.25">
      <c r="B33" s="110" t="s">
        <v>110</v>
      </c>
      <c r="C33" s="209">
        <f>((1/C24)-TRUNC(E33))</f>
        <v>7.0000000000000007E-2</v>
      </c>
      <c r="D33" s="70">
        <f>TRUNC(E33)</f>
        <v>2</v>
      </c>
      <c r="E33" s="70">
        <f>1/C24</f>
        <v>2.0699648105982198</v>
      </c>
      <c r="F33" s="70">
        <f>((1/C24)-TRUNC(E33))</f>
        <v>6.9964810598219795E-2</v>
      </c>
      <c r="G33" s="70">
        <f>12*F33</f>
        <v>0.83957772717863799</v>
      </c>
      <c r="K33" s="70" t="e">
        <f>IF(#REF!&gt;12,#REF!-12,#REF!)</f>
        <v>#REF!</v>
      </c>
    </row>
    <row r="34" spans="2:11" s="70" customFormat="1" ht="15" x14ac:dyDescent="0.25">
      <c r="B34" s="108" t="s">
        <v>111</v>
      </c>
      <c r="C34" s="115">
        <f>30+D34</f>
        <v>36</v>
      </c>
      <c r="D34" s="70">
        <f>3*D33</f>
        <v>6</v>
      </c>
      <c r="G34" s="70">
        <f>G33/12*40/360</f>
        <v>7.7738678442466503E-3</v>
      </c>
      <c r="K34" s="70" t="e">
        <f>IF(#REF!&gt;12,#REF!-12,#REF!)</f>
        <v>#REF!</v>
      </c>
    </row>
    <row r="35" spans="2:11" s="70" customFormat="1" ht="15.75" thickBot="1" x14ac:dyDescent="0.3">
      <c r="B35" s="116" t="s">
        <v>206</v>
      </c>
      <c r="C35" s="210">
        <f>12/C24</f>
        <v>24.839600000000001</v>
      </c>
      <c r="K35" s="70" t="e">
        <f>IF(#REF!&gt;12,#REF!-12,#REF!)</f>
        <v>#REF!</v>
      </c>
    </row>
    <row r="36" spans="2:11" x14ac:dyDescent="0.2">
      <c r="K36" s="1" t="e">
        <f t="shared" ref="K36:K37" si="0">IF(K35&gt;12,K35-12,K35)</f>
        <v>#REF!</v>
      </c>
    </row>
    <row r="37" spans="2:11" x14ac:dyDescent="0.2">
      <c r="K37" s="1" t="e">
        <f t="shared" si="0"/>
        <v>#REF!</v>
      </c>
    </row>
  </sheetData>
  <mergeCells count="2">
    <mergeCell ref="B7:C7"/>
    <mergeCell ref="A5:C5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zoomScaleNormal="100" workbookViewId="0">
      <selection activeCell="C21" sqref="C21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79" bestFit="1" customWidth="1"/>
    <col min="6" max="6" width="9.7109375" bestFit="1" customWidth="1"/>
  </cols>
  <sheetData>
    <row r="1" spans="1:8" s="98" customFormat="1" ht="15" thickBot="1" x14ac:dyDescent="0.25">
      <c r="B1" s="96"/>
      <c r="C1" s="96"/>
      <c r="E1" s="99"/>
    </row>
    <row r="2" spans="1:8" ht="15.75" x14ac:dyDescent="0.2">
      <c r="A2" s="366" t="s">
        <v>189</v>
      </c>
      <c r="B2" s="367"/>
      <c r="C2" s="367"/>
      <c r="D2" s="367"/>
      <c r="E2" s="367"/>
      <c r="F2" s="368"/>
    </row>
    <row r="3" spans="1:8" ht="16.5" thickBot="1" x14ac:dyDescent="0.25">
      <c r="A3" s="197"/>
      <c r="B3" s="198"/>
      <c r="C3" s="198"/>
      <c r="D3" s="198"/>
      <c r="E3" s="198"/>
      <c r="F3" s="199"/>
    </row>
    <row r="4" spans="1:8" ht="15" x14ac:dyDescent="0.25">
      <c r="A4" s="162"/>
      <c r="B4" s="97"/>
      <c r="C4" s="97"/>
      <c r="D4" s="363" t="s">
        <v>205</v>
      </c>
      <c r="E4" s="364"/>
      <c r="F4" s="365"/>
      <c r="G4" s="98"/>
      <c r="H4" s="98"/>
    </row>
    <row r="5" spans="1:8" ht="15" thickBot="1" x14ac:dyDescent="0.25">
      <c r="A5" s="159"/>
      <c r="B5" s="163"/>
      <c r="C5" s="163"/>
      <c r="D5" s="164" t="s">
        <v>162</v>
      </c>
      <c r="E5" s="165" t="s">
        <v>163</v>
      </c>
      <c r="F5" s="166" t="s">
        <v>164</v>
      </c>
      <c r="G5" s="98"/>
      <c r="H5" s="98"/>
    </row>
    <row r="6" spans="1:8" ht="14.25" x14ac:dyDescent="0.2">
      <c r="A6" s="167" t="s">
        <v>65</v>
      </c>
      <c r="B6" s="168" t="s">
        <v>66</v>
      </c>
      <c r="C6" s="246">
        <v>5.0799999999999998E-2</v>
      </c>
      <c r="D6" s="247">
        <v>2.9700000000000001E-2</v>
      </c>
      <c r="E6" s="248">
        <v>5.0799999999999998E-2</v>
      </c>
      <c r="F6" s="184">
        <v>6.2700000000000006E-2</v>
      </c>
      <c r="G6" s="98"/>
      <c r="H6" s="98"/>
    </row>
    <row r="7" spans="1:8" ht="14.25" x14ac:dyDescent="0.2">
      <c r="A7" s="170" t="s">
        <v>67</v>
      </c>
      <c r="B7" s="171" t="s">
        <v>68</v>
      </c>
      <c r="C7" s="172">
        <v>1.3299999999999999E-2</v>
      </c>
      <c r="D7" s="247">
        <f>0.3%+0.56%</f>
        <v>8.6E-3</v>
      </c>
      <c r="E7" s="248">
        <f>0.48%+0.85%</f>
        <v>1.3299999999999999E-2</v>
      </c>
      <c r="F7" s="184">
        <f>0.82%+0.89%</f>
        <v>1.7100000000000001E-2</v>
      </c>
      <c r="G7" s="98"/>
      <c r="H7" s="98"/>
    </row>
    <row r="8" spans="1:8" ht="14.25" x14ac:dyDescent="0.2">
      <c r="A8" s="170" t="s">
        <v>69</v>
      </c>
      <c r="B8" s="171" t="s">
        <v>70</v>
      </c>
      <c r="C8" s="172">
        <v>0.1085</v>
      </c>
      <c r="D8" s="247">
        <v>7.7799999999999994E-2</v>
      </c>
      <c r="E8" s="248">
        <v>0.1085</v>
      </c>
      <c r="F8" s="184">
        <v>0.13550000000000001</v>
      </c>
      <c r="G8" s="98"/>
      <c r="H8" s="98"/>
    </row>
    <row r="9" spans="1:8" ht="14.25" x14ac:dyDescent="0.2">
      <c r="A9" s="170" t="s">
        <v>71</v>
      </c>
      <c r="B9" s="171" t="s">
        <v>72</v>
      </c>
      <c r="C9" s="172">
        <f>(1+E9)^(E10/252)-1</f>
        <v>8.0999999999999996E-3</v>
      </c>
      <c r="D9" s="251" t="s">
        <v>218</v>
      </c>
      <c r="E9" s="252">
        <v>7.0000000000000007E-2</v>
      </c>
      <c r="F9" s="169"/>
      <c r="G9" s="98"/>
      <c r="H9" s="98"/>
    </row>
    <row r="10" spans="1:8" ht="14.25" x14ac:dyDescent="0.2">
      <c r="A10" s="170" t="s">
        <v>73</v>
      </c>
      <c r="B10" s="361" t="s">
        <v>74</v>
      </c>
      <c r="C10" s="172">
        <v>0.02</v>
      </c>
      <c r="D10" s="253" t="s">
        <v>165</v>
      </c>
      <c r="E10" s="254">
        <v>30</v>
      </c>
      <c r="F10" s="173"/>
      <c r="G10" s="98"/>
      <c r="H10" s="98"/>
    </row>
    <row r="11" spans="1:8" ht="15" thickBot="1" x14ac:dyDescent="0.25">
      <c r="A11" s="174" t="s">
        <v>75</v>
      </c>
      <c r="B11" s="362"/>
      <c r="C11" s="250">
        <v>3.6499999999999998E-2</v>
      </c>
      <c r="D11" s="255"/>
      <c r="E11" s="254"/>
      <c r="F11" s="173"/>
      <c r="G11" s="98"/>
      <c r="H11" s="98"/>
    </row>
    <row r="12" spans="1:8" ht="14.25" x14ac:dyDescent="0.2">
      <c r="A12" s="175" t="s">
        <v>76</v>
      </c>
      <c r="B12" s="176"/>
      <c r="C12" s="177"/>
      <c r="D12" s="211"/>
      <c r="E12" s="249"/>
      <c r="F12" s="173"/>
      <c r="G12" s="98"/>
      <c r="H12" s="98"/>
    </row>
    <row r="13" spans="1:8" ht="15" thickBot="1" x14ac:dyDescent="0.25">
      <c r="A13" s="178" t="s">
        <v>77</v>
      </c>
      <c r="B13" s="179"/>
      <c r="C13" s="180"/>
      <c r="D13" s="211"/>
      <c r="E13" s="249"/>
      <c r="F13" s="173"/>
      <c r="G13" s="98"/>
      <c r="H13" s="98"/>
    </row>
    <row r="14" spans="1:8" ht="15.75" thickBot="1" x14ac:dyDescent="0.25">
      <c r="A14" s="181" t="s">
        <v>78</v>
      </c>
      <c r="B14" s="182"/>
      <c r="C14" s="183">
        <f>ROUND((((1+C6+C7)*(1+C8)*(1+C9))/(1-(C10+C11))-1),4)</f>
        <v>0.26029999999999998</v>
      </c>
      <c r="D14" s="185">
        <v>0.21429999999999999</v>
      </c>
      <c r="E14" s="186">
        <v>0.2717</v>
      </c>
      <c r="F14" s="187">
        <v>0.3362</v>
      </c>
      <c r="G14" s="98"/>
      <c r="H14" s="98"/>
    </row>
    <row r="15" spans="1:8" ht="14.25" x14ac:dyDescent="0.2">
      <c r="A15" s="98"/>
      <c r="B15" s="98"/>
      <c r="C15" s="98"/>
      <c r="D15" s="98"/>
      <c r="E15" s="99"/>
      <c r="F15" s="98"/>
      <c r="G15" s="98"/>
      <c r="H15" s="98"/>
    </row>
    <row r="16" spans="1:8" ht="14.25" x14ac:dyDescent="0.2">
      <c r="A16" s="98"/>
      <c r="B16" s="98"/>
      <c r="C16" s="98"/>
      <c r="D16" s="98"/>
      <c r="E16" s="217"/>
      <c r="F16" s="98"/>
      <c r="G16" s="98"/>
      <c r="H16" s="98"/>
    </row>
    <row r="17" spans="1:8" ht="14.25" x14ac:dyDescent="0.2">
      <c r="A17" s="98"/>
      <c r="B17" s="98"/>
      <c r="C17" s="98"/>
      <c r="D17" s="98"/>
      <c r="E17" s="217"/>
      <c r="F17" s="98"/>
      <c r="G17" s="98"/>
      <c r="H17" s="98"/>
    </row>
    <row r="18" spans="1:8" ht="14.25" x14ac:dyDescent="0.2">
      <c r="A18" s="98"/>
      <c r="B18" s="98"/>
      <c r="C18" s="98"/>
      <c r="D18" s="98"/>
      <c r="E18" s="217"/>
      <c r="F18" s="98"/>
      <c r="G18" s="98"/>
      <c r="H18" s="98"/>
    </row>
  </sheetData>
  <mergeCells count="3">
    <mergeCell ref="B10:B11"/>
    <mergeCell ref="D4:F4"/>
    <mergeCell ref="A2:F2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7" sqref="B7"/>
    </sheetView>
  </sheetViews>
  <sheetFormatPr defaultColWidth="9.140625"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369" t="s">
        <v>191</v>
      </c>
      <c r="B1" s="370"/>
    </row>
    <row r="2" spans="1:2" s="70" customFormat="1" ht="19.5" customHeight="1" x14ac:dyDescent="0.2">
      <c r="A2" s="200" t="s">
        <v>175</v>
      </c>
      <c r="B2" s="201" t="s">
        <v>219</v>
      </c>
    </row>
    <row r="3" spans="1:2" ht="19.5" customHeight="1" x14ac:dyDescent="0.2">
      <c r="A3" s="118">
        <v>1</v>
      </c>
      <c r="B3" s="117">
        <v>33.630000000000003</v>
      </c>
    </row>
    <row r="4" spans="1:2" ht="19.5" customHeight="1" x14ac:dyDescent="0.2">
      <c r="A4" s="118">
        <v>2</v>
      </c>
      <c r="B4" s="117">
        <v>43.13</v>
      </c>
    </row>
    <row r="5" spans="1:2" ht="19.5" customHeight="1" x14ac:dyDescent="0.2">
      <c r="A5" s="118">
        <v>3</v>
      </c>
      <c r="B5" s="117">
        <v>48.68</v>
      </c>
    </row>
    <row r="6" spans="1:2" ht="19.5" customHeight="1" x14ac:dyDescent="0.2">
      <c r="A6" s="118">
        <v>4</v>
      </c>
      <c r="B6" s="117">
        <v>52.62</v>
      </c>
    </row>
    <row r="7" spans="1:2" ht="19.5" customHeight="1" x14ac:dyDescent="0.2">
      <c r="A7" s="118">
        <v>5</v>
      </c>
      <c r="B7" s="117">
        <v>55.68</v>
      </c>
    </row>
    <row r="8" spans="1:2" ht="19.5" customHeight="1" x14ac:dyDescent="0.2">
      <c r="A8" s="118">
        <v>6</v>
      </c>
      <c r="B8" s="117">
        <v>58.18</v>
      </c>
    </row>
    <row r="9" spans="1:2" ht="19.5" customHeight="1" x14ac:dyDescent="0.2">
      <c r="A9" s="118">
        <v>7</v>
      </c>
      <c r="B9" s="117">
        <v>60.29</v>
      </c>
    </row>
    <row r="10" spans="1:2" ht="19.5" customHeight="1" x14ac:dyDescent="0.2">
      <c r="A10" s="118">
        <v>8</v>
      </c>
      <c r="B10" s="117">
        <v>62.12</v>
      </c>
    </row>
    <row r="11" spans="1:2" ht="19.5" customHeight="1" x14ac:dyDescent="0.2">
      <c r="A11" s="118">
        <v>9</v>
      </c>
      <c r="B11" s="117">
        <v>63.73</v>
      </c>
    </row>
    <row r="12" spans="1:2" ht="19.5" customHeight="1" x14ac:dyDescent="0.2">
      <c r="A12" s="118">
        <v>10</v>
      </c>
      <c r="B12" s="117">
        <v>65.180000000000007</v>
      </c>
    </row>
    <row r="13" spans="1:2" ht="19.5" customHeight="1" x14ac:dyDescent="0.2">
      <c r="A13" s="118">
        <v>11</v>
      </c>
      <c r="B13" s="117">
        <v>66.48</v>
      </c>
    </row>
    <row r="14" spans="1:2" ht="19.5" customHeight="1" x14ac:dyDescent="0.2">
      <c r="A14" s="118">
        <v>12</v>
      </c>
      <c r="B14" s="117">
        <v>67.67</v>
      </c>
    </row>
    <row r="15" spans="1:2" ht="19.5" customHeight="1" x14ac:dyDescent="0.2">
      <c r="A15" s="118">
        <v>13</v>
      </c>
      <c r="B15" s="117">
        <v>68.77</v>
      </c>
    </row>
    <row r="16" spans="1:2" ht="19.5" customHeight="1" x14ac:dyDescent="0.2">
      <c r="A16" s="118">
        <v>14</v>
      </c>
      <c r="B16" s="117">
        <v>69.790000000000006</v>
      </c>
    </row>
    <row r="17" spans="1:2" ht="19.5" customHeight="1" thickBot="1" x14ac:dyDescent="0.25">
      <c r="A17" s="119">
        <v>15</v>
      </c>
      <c r="B17" s="120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ColWidth="9.140625"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191" t="s">
        <v>195</v>
      </c>
    </row>
    <row r="2" spans="1:1" x14ac:dyDescent="0.2">
      <c r="A2" s="188"/>
    </row>
    <row r="3" spans="1:1" x14ac:dyDescent="0.2">
      <c r="A3" s="188" t="s">
        <v>207</v>
      </c>
    </row>
    <row r="4" spans="1:1" x14ac:dyDescent="0.2">
      <c r="A4" s="188"/>
    </row>
    <row r="5" spans="1:1" x14ac:dyDescent="0.2">
      <c r="A5" s="188"/>
    </row>
    <row r="6" spans="1:1" x14ac:dyDescent="0.2">
      <c r="A6" s="188"/>
    </row>
    <row r="7" spans="1:1" x14ac:dyDescent="0.2">
      <c r="A7" s="188"/>
    </row>
    <row r="8" spans="1:1" x14ac:dyDescent="0.2">
      <c r="A8" s="188"/>
    </row>
    <row r="9" spans="1:1" x14ac:dyDescent="0.2">
      <c r="A9" s="188"/>
    </row>
    <row r="10" spans="1:1" x14ac:dyDescent="0.2">
      <c r="A10" s="188"/>
    </row>
    <row r="11" spans="1:1" x14ac:dyDescent="0.2">
      <c r="A11" s="188"/>
    </row>
    <row r="12" spans="1:1" ht="19.5" x14ac:dyDescent="0.35">
      <c r="A12" s="189" t="s">
        <v>192</v>
      </c>
    </row>
    <row r="13" spans="1:1" ht="15" x14ac:dyDescent="0.2">
      <c r="A13" s="189" t="s">
        <v>85</v>
      </c>
    </row>
    <row r="14" spans="1:1" ht="15" x14ac:dyDescent="0.2">
      <c r="A14" s="189" t="s">
        <v>87</v>
      </c>
    </row>
    <row r="15" spans="1:1" ht="19.5" x14ac:dyDescent="0.35">
      <c r="A15" s="189" t="s">
        <v>193</v>
      </c>
    </row>
    <row r="16" spans="1:1" ht="19.5" x14ac:dyDescent="0.35">
      <c r="A16" s="189" t="s">
        <v>194</v>
      </c>
    </row>
    <row r="17" spans="1:1" ht="15.75" thickBot="1" x14ac:dyDescent="0.25">
      <c r="A17" s="190" t="s">
        <v>86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Transporte rejeitos</vt:lpstr>
      <vt:lpstr>2.Encargos Sociais</vt:lpstr>
      <vt:lpstr>3.CAGED</vt:lpstr>
      <vt:lpstr>4.BDI</vt:lpstr>
      <vt:lpstr>5. Depreciação</vt:lpstr>
      <vt:lpstr>6.Remuneração de capital</vt:lpstr>
      <vt:lpstr>AbaDeprec</vt:lpstr>
      <vt:lpstr>AbaRemun</vt:lpstr>
      <vt:lpstr>'2.Encargos Sociais'!Area_de_impressao</vt:lpstr>
      <vt:lpstr>'Transporte rejeitos'!Area_de_impressao</vt:lpstr>
      <vt:lpstr>'Transporte rejeitos'!Titulos_de_impressao</vt:lpstr>
    </vt:vector>
  </TitlesOfParts>
  <Company>dmlu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Eveline Schulz Heps</cp:lastModifiedBy>
  <cp:lastPrinted>2024-04-22T20:27:59Z</cp:lastPrinted>
  <dcterms:created xsi:type="dcterms:W3CDTF">2000-12-13T10:02:50Z</dcterms:created>
  <dcterms:modified xsi:type="dcterms:W3CDTF">2024-06-26T18:52:32Z</dcterms:modified>
</cp:coreProperties>
</file>